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Reinstatement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'Reinstatements'!$A$1:$T$101</definedName>
    <definedName name="_xlnm._FilterDatabase" localSheetId="2" hidden="1">'Assumptions'!$A$1:$C$7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$#,##0.00"/>
    <numFmt numFmtId="166" formatCode="0.0%"/>
    <numFmt numFmtId="167" formatCode="0.0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172B35"/>
      <sz val="10"/>
    </font>
    <font>
      <name val="Calibri"/>
      <b val="1"/>
      <color rgb="00FFFFFF"/>
      <sz val="16"/>
    </font>
    <font>
      <name val="Calibri"/>
      <b val="1"/>
      <color rgb="00172B35"/>
      <sz val="10"/>
    </font>
  </fonts>
  <fills count="7">
    <fill>
      <patternFill/>
    </fill>
    <fill>
      <patternFill patternType="gray125"/>
    </fill>
    <fill>
      <patternFill patternType="solid">
        <fgColor rgb="00173B57"/>
      </patternFill>
    </fill>
    <fill>
      <patternFill patternType="solid">
        <fgColor rgb="00F3F7F8"/>
      </patternFill>
    </fill>
    <fill>
      <patternFill patternType="solid">
        <fgColor rgb="00FFF1D9"/>
      </patternFill>
    </fill>
    <fill>
      <patternFill patternType="solid">
        <fgColor rgb="00FFFFFF"/>
      </patternFill>
    </fill>
    <fill>
      <patternFill patternType="solid">
        <fgColor rgb="00E56A2A"/>
      </patternFill>
    </fill>
  </fills>
  <borders count="6">
    <border>
      <left/>
      <right/>
      <top/>
      <bottom/>
      <diagonal/>
    </border>
    <border>
      <left style="thin">
        <color rgb="00C8D6DC"/>
      </left>
      <right style="thin">
        <color rgb="00C8D6DC"/>
      </right>
      <top style="thin">
        <color rgb="00C8D6DC"/>
      </top>
      <bottom style="thin">
        <color rgb="00C8D6DC"/>
      </bottom>
    </border>
    <border>
      <left/>
      <right/>
      <top style="thin">
        <color rgb="00C8D6DC"/>
      </top>
      <bottom/>
      <diagonal/>
    </border>
    <border>
      <left/>
      <right style="thin">
        <color rgb="00C8D6DC"/>
      </right>
      <top style="thin">
        <color rgb="00C8D6DC"/>
      </top>
      <bottom/>
      <diagonal/>
    </border>
    <border>
      <left/>
      <right/>
      <top style="thin">
        <color rgb="00C8D6DC"/>
      </top>
      <bottom style="thin">
        <color rgb="00C8D6DC"/>
      </bottom>
      <diagonal/>
    </border>
    <border>
      <left/>
      <right style="thin">
        <color rgb="00C8D6DC"/>
      </right>
      <top style="thin">
        <color rgb="00C8D6DC"/>
      </top>
      <bottom style="thin">
        <color rgb="00C8D6DC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164" fontId="2" fillId="3" borderId="1" applyAlignment="1" pivotButton="0" quotePrefix="0" xfId="0">
      <alignment horizontal="center" vertical="center"/>
    </xf>
    <xf numFmtId="0" fontId="1" fillId="6" borderId="1" applyAlignment="1" pivotButton="0" quotePrefix="0" xfId="0">
      <alignment horizontal="center" vertical="center" wrapText="1"/>
    </xf>
    <xf numFmtId="1" fontId="2" fillId="3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1" fontId="2" fillId="5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/>
    </xf>
    <xf numFmtId="166" fontId="2" fillId="5" borderId="1" applyAlignment="1" pivotButton="0" quotePrefix="0" xfId="0">
      <alignment horizontal="right" vertical="center"/>
    </xf>
    <xf numFmtId="167" fontId="2" fillId="3" borderId="1" applyAlignment="1" pivotButton="0" quotePrefix="0" xfId="0">
      <alignment horizontal="right" vertical="center"/>
    </xf>
    <xf numFmtId="0" fontId="1" fillId="2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left" vertical="top" wrapText="1"/>
    </xf>
    <xf numFmtId="1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1" fontId="2" fillId="4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165" fontId="2" fillId="4" borderId="1" applyAlignment="1" pivotButton="0" quotePrefix="0" xfId="0">
      <alignment horizontal="left" vertical="center"/>
    </xf>
    <xf numFmtId="164" fontId="2" fillId="4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4" fontId="2" fillId="3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right" vertical="center"/>
    </xf>
    <xf numFmtId="167" fontId="2" fillId="3" borderId="1" applyAlignment="1" pivotButton="0" quotePrefix="0" xfId="0">
      <alignment horizontal="right" vertical="center"/>
    </xf>
    <xf numFmtId="164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5472F"/>
        </patternFill>
      </fill>
    </dxf>
    <dxf>
      <font>
        <name val="Calibri"/>
        <b val="1"/>
        <color rgb="00FFFFFF"/>
        <sz val="10"/>
      </font>
      <fill>
        <patternFill patternType="solid">
          <fgColor rgb="000F7B7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Outcome Mix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'Summary'!H3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'Summary'!$G$4:$G$8</f>
            </numRef>
          </cat>
          <val>
            <numRef>
              <f>'Summary'!$H$4:$H$8</f>
            </numRef>
          </val>
        </ser>
        <gapWidth val="4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Cases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11</row>
      <rowOff>0</rowOff>
    </from>
    <ext cx="3240000" cy="21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3" customWidth="1" min="3" max="3"/>
    <col width="31" customWidth="1" min="4" max="4"/>
    <col width="17" customWidth="1" min="5" max="5"/>
    <col width="3" customWidth="1" min="6" max="6"/>
    <col width="2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 ht="30" customHeight="1">
      <c r="A1" s="1" t="inlineStr">
        <is>
          <t>Insurance Policy Reinstatement Tracker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29" t="n"/>
      <c r="K1" s="29" t="n"/>
      <c r="L1" s="30" t="n"/>
    </row>
    <row r="2" ht="23" customHeight="1">
      <c r="A2" s="2" t="inlineStr">
        <is>
          <t>As of</t>
        </is>
      </c>
      <c r="B2" s="31">
        <f>TODAY()</f>
        <v/>
      </c>
    </row>
    <row r="3" ht="28" customHeight="1">
      <c r="A3" s="4" t="inlineStr">
        <is>
          <t>Workload Indicator</t>
        </is>
      </c>
      <c r="B3" s="4" t="inlineStr">
        <is>
          <t>Value</t>
        </is>
      </c>
      <c r="D3" s="4" t="inlineStr">
        <is>
          <t>Financial Indicator</t>
        </is>
      </c>
      <c r="E3" s="4" t="inlineStr">
        <is>
          <t>Value</t>
        </is>
      </c>
      <c r="G3" s="4" t="inlineStr">
        <is>
          <t>Outcome</t>
        </is>
      </c>
      <c r="H3" s="4" t="inlineStr">
        <is>
          <t>Cases</t>
        </is>
      </c>
    </row>
    <row r="4" ht="23" customHeight="1">
      <c r="A4" s="2" t="inlineStr">
        <is>
          <t>Total requests</t>
        </is>
      </c>
      <c r="B4" s="5">
        <f>COUNTIF(Reinstatements!$A$2:$A$101,"&lt;&gt;")</f>
        <v/>
      </c>
      <c r="D4" s="2" t="inlineStr">
        <is>
          <t>Amount required</t>
        </is>
      </c>
      <c r="E4" s="6">
        <f>SUMIF(Reinstatements!$A$2:$A$101,"&lt;&gt;",Reinstatements!$I$2:$I$101)</f>
        <v/>
      </c>
      <c r="G4" s="7" t="inlineStr">
        <is>
          <t>Not Submitted</t>
        </is>
      </c>
      <c r="H4" s="5">
        <f>COUNTIFS(Reinstatements!$A$2:$A$101,"&lt;&gt;",Reinstatements!$M$2:$M$101,$G4)</f>
        <v/>
      </c>
    </row>
    <row r="5" ht="23" customHeight="1">
      <c r="A5" s="8" t="inlineStr">
        <is>
          <t>Open requests</t>
        </is>
      </c>
      <c r="B5" s="9">
        <f>COUNTIFS(Reinstatements!$A$2:$A$101,"&lt;&gt;",Reinstatements!$M$2:$M$101,"Not Submitted")+COUNTIFS(Reinstatements!$A$2:$A$101,"&lt;&gt;",Reinstatements!$M$2:$M$101,"Submitted")</f>
        <v/>
      </c>
      <c r="D5" s="8" t="inlineStr">
        <is>
          <t>Amount received</t>
        </is>
      </c>
      <c r="E5" s="10">
        <f>SUMIF(Reinstatements!$A$2:$A$101,"&lt;&gt;",Reinstatements!$J$2:$J$101)</f>
        <v/>
      </c>
      <c r="G5" s="11" t="inlineStr">
        <is>
          <t>Submitted</t>
        </is>
      </c>
      <c r="H5" s="9">
        <f>COUNTIFS(Reinstatements!$A$2:$A$101,"&lt;&gt;",Reinstatements!$M$2:$M$101,$G5)</f>
        <v/>
      </c>
    </row>
    <row r="6" ht="23" customHeight="1">
      <c r="A6" s="2" t="inlineStr">
        <is>
          <t>Reinstated</t>
        </is>
      </c>
      <c r="B6" s="5">
        <f>COUNTIFS(Reinstatements!$A$2:$A$101,"&lt;&gt;",Reinstatements!$M$2:$M$101,"Reinstated")</f>
        <v/>
      </c>
      <c r="D6" s="2" t="inlineStr">
        <is>
          <t>Recorded balance</t>
        </is>
      </c>
      <c r="E6" s="6">
        <f>SUMIF(Reinstatements!$A$2:$A$101,"&lt;&gt;",Reinstatements!$S$2:$S$101)</f>
        <v/>
      </c>
      <c r="G6" s="7" t="inlineStr">
        <is>
          <t>Reinstated</t>
        </is>
      </c>
      <c r="H6" s="5">
        <f>COUNTIFS(Reinstatements!$A$2:$A$101,"&lt;&gt;",Reinstatements!$M$2:$M$101,$G6)</f>
        <v/>
      </c>
    </row>
    <row r="7" ht="23" customHeight="1">
      <c r="A7" s="8" t="inlineStr">
        <is>
          <t>Declined</t>
        </is>
      </c>
      <c r="B7" s="9">
        <f>COUNTIFS(Reinstatements!$A$2:$A$101,"&lt;&gt;",Reinstatements!$M$2:$M$101,"Declined")</f>
        <v/>
      </c>
      <c r="D7" s="8" t="inlineStr">
        <is>
          <t>Reinstatement decision rate</t>
        </is>
      </c>
      <c r="E7" s="32">
        <f>IFERROR(B6/(B6+B7),"")</f>
        <v/>
      </c>
      <c r="G7" s="11" t="inlineStr">
        <is>
          <t>Declined</t>
        </is>
      </c>
      <c r="H7" s="9">
        <f>COUNTIFS(Reinstatements!$A$2:$A$101,"&lt;&gt;",Reinstatements!$M$2:$M$101,$G7)</f>
        <v/>
      </c>
    </row>
    <row r="8" ht="23" customHeight="1">
      <c r="A8" s="2" t="inlineStr">
        <is>
          <t>Withdrawn</t>
        </is>
      </c>
      <c r="B8" s="5">
        <f>COUNTIFS(Reinstatements!$A$2:$A$101,"&lt;&gt;",Reinstatements!$M$2:$M$101,"Withdrawn")</f>
        <v/>
      </c>
      <c r="D8" s="2" t="inlineStr">
        <is>
          <t>Average closed days</t>
        </is>
      </c>
      <c r="E8" s="33">
        <f>IFERROR((SUMIFS(Reinstatements!$R$2:$R$101,Reinstatements!$A$2:$A$101,"&lt;&gt;",Reinstatements!$M$2:$M$101,"Reinstated")+SUMIFS(Reinstatements!$R$2:$R$101,Reinstatements!$A$2:$A$101,"&lt;&gt;",Reinstatements!$M$2:$M$101,"Declined")+SUMIFS(Reinstatements!$R$2:$R$101,Reinstatements!$A$2:$A$101,"&lt;&gt;",Reinstatements!$M$2:$M$101,"Withdrawn"))/(COUNTIFS(Reinstatements!$A$2:$A$101,"&lt;&gt;",Reinstatements!$M$2:$M$101,"Reinstated",Reinstatements!$N$2:$N$101,"&lt;&gt;")+COUNTIFS(Reinstatements!$A$2:$A$101,"&lt;&gt;",Reinstatements!$M$2:$M$101,"Declined",Reinstatements!$N$2:$N$101,"&lt;&gt;")+COUNTIFS(Reinstatements!$A$2:$A$101,"&lt;&gt;",Reinstatements!$M$2:$M$101,"Withdrawn",Reinstatements!$N$2:$N$101,"&lt;&gt;")),"")</f>
        <v/>
      </c>
      <c r="G8" s="7" t="inlineStr">
        <is>
          <t>Withdrawn</t>
        </is>
      </c>
      <c r="H8" s="5">
        <f>COUNTIFS(Reinstatements!$A$2:$A$101,"&lt;&gt;",Reinstatements!$M$2:$M$101,$G8)</f>
        <v/>
      </c>
    </row>
    <row r="9" ht="23" customHeight="1">
      <c r="A9" s="8" t="inlineStr">
        <is>
          <t>Overdue requirement checks</t>
        </is>
      </c>
      <c r="B9" s="9">
        <f>COUNTIF(Reinstatements!$T$2:$T$101,"Check overdue requirements")</f>
        <v/>
      </c>
      <c r="D9" s="8" t="inlineStr">
        <is>
          <t>Amount collection ratio</t>
        </is>
      </c>
      <c r="E9" s="32">
        <f>IFERROR(E5/E4,"")</f>
        <v/>
      </c>
    </row>
    <row r="10" ht="23" customHeight="1">
      <c r="A10" s="2" t="inlineStr">
        <is>
          <t>Follow-up checks</t>
        </is>
      </c>
      <c r="B10" s="5">
        <f>COUNTIF(Reinstatements!$T$2:$T$101,"Check follow-up")</f>
        <v/>
      </c>
      <c r="D10" s="2" t="inlineStr">
        <is>
          <t>Cases with a balance</t>
        </is>
      </c>
      <c r="E10" s="5">
        <f>COUNTIFS(Reinstatements!$A$2:$A$101,"&lt;&gt;",Reinstatements!$S$2:$S$101,"&gt;0")</f>
        <v/>
      </c>
    </row>
    <row r="11" ht="23" customHeight="1">
      <c r="A11" s="8" t="inlineStr">
        <is>
          <t>Open-duration checks</t>
        </is>
      </c>
      <c r="B11" s="9">
        <f>COUNTIF(Reinstatements!$T$2:$T$101,"Check open duration")</f>
        <v/>
      </c>
    </row>
    <row r="12" ht="23" customHeight="1">
      <c r="A12" s="2" t="inlineStr">
        <is>
          <t>Other review alerts</t>
        </is>
      </c>
      <c r="B12" s="5">
        <f>MAX(0,COUNTIF(Reinstatements!$T$2:$T$101,"Check*")-SUM(B9:B11))</f>
        <v/>
      </c>
    </row>
  </sheetData>
  <mergeCells count="1">
    <mergeCell ref="A1:L1"/>
  </mergeCells>
  <conditionalFormatting sqref="B9:B12">
    <cfRule type="expression" priority="1" dxfId="0">
      <formula>B9&gt;0</formula>
    </cfRule>
  </conditionalFormatting>
  <conditionalFormatting sqref="B6">
    <cfRule type="expression" priority="2" dxfId="1">
      <formula>B6&gt;0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1" customWidth="1" min="2" max="2"/>
    <col width="20" customWidth="1" min="3" max="3"/>
    <col width="21" customWidth="1" min="4" max="4"/>
    <col width="32" customWidth="1" min="5" max="5"/>
    <col width="17" customWidth="1" min="6" max="6"/>
    <col width="16" customWidth="1" min="7" max="7"/>
    <col width="18" customWidth="1" min="8" max="8"/>
    <col width="17" customWidth="1" min="9" max="9"/>
    <col width="17" customWidth="1" min="10" max="10"/>
    <col width="21" customWidth="1" min="11" max="11"/>
    <col width="29" customWidth="1" min="12" max="12"/>
    <col width="18" customWidth="1" min="13" max="13"/>
    <col width="16" customWidth="1" min="14" max="14"/>
    <col width="22" customWidth="1" min="15" max="15"/>
    <col width="17" customWidth="1" min="16" max="16"/>
    <col width="45" customWidth="1" min="17" max="17"/>
    <col width="12" customWidth="1" min="18" max="18"/>
    <col width="18" customWidth="1" min="19" max="19"/>
    <col width="30" customWidth="1" min="20" max="20"/>
  </cols>
  <sheetData>
    <row r="1" ht="38" customHeight="1">
      <c r="A1" s="14" t="inlineStr">
        <is>
          <t>Case ID</t>
        </is>
      </c>
      <c r="B1" s="14" t="inlineStr">
        <is>
          <t>Fictional Client</t>
        </is>
      </c>
      <c r="C1" s="14" t="inlineStr">
        <is>
          <t>Policy Reference</t>
        </is>
      </c>
      <c r="D1" s="14" t="inlineStr">
        <is>
          <t>Policy Type</t>
        </is>
      </c>
      <c r="E1" s="14" t="inlineStr">
        <is>
          <t>Carrier</t>
        </is>
      </c>
      <c r="F1" s="14" t="inlineStr">
        <is>
          <t>Cancellation Date</t>
        </is>
      </c>
      <c r="G1" s="14" t="inlineStr">
        <is>
          <t>Request Date</t>
        </is>
      </c>
      <c r="H1" s="14" t="inlineStr">
        <is>
          <t>Requirements Due</t>
        </is>
      </c>
      <c r="I1" s="14" t="inlineStr">
        <is>
          <t>Amount Required</t>
        </is>
      </c>
      <c r="J1" s="14" t="inlineStr">
        <is>
          <t>Amount Received</t>
        </is>
      </c>
      <c r="K1" s="14" t="inlineStr">
        <is>
          <t>Requirements Status</t>
        </is>
      </c>
      <c r="L1" s="14" t="inlineStr">
        <is>
          <t>Assigned Owner</t>
        </is>
      </c>
      <c r="M1" s="14" t="inlineStr">
        <is>
          <t>Outcome Status</t>
        </is>
      </c>
      <c r="N1" s="14" t="inlineStr">
        <is>
          <t>Decision Date</t>
        </is>
      </c>
      <c r="O1" s="14" t="inlineStr">
        <is>
          <t>Reinstatement Effective</t>
        </is>
      </c>
      <c r="P1" s="14" t="inlineStr">
        <is>
          <t>Next Follow-up</t>
        </is>
      </c>
      <c r="Q1" s="14" t="inlineStr">
        <is>
          <t>Agency Notes</t>
        </is>
      </c>
      <c r="R1" s="14" t="inlineStr">
        <is>
          <t>Days Open</t>
        </is>
      </c>
      <c r="S1" s="14" t="inlineStr">
        <is>
          <t>Recorded Balance</t>
        </is>
      </c>
      <c r="T1" s="14" t="inlineStr">
        <is>
          <t>Review Alert</t>
        </is>
      </c>
    </row>
    <row r="2" ht="36" customHeight="1">
      <c r="A2" s="15" t="inlineStr">
        <is>
          <t>SAMPLE-RI-001</t>
        </is>
      </c>
      <c r="B2" s="15" t="inlineStr">
        <is>
          <t>Fictional Cedar Kites LLC</t>
        </is>
      </c>
      <c r="C2" s="15" t="inlineStr">
        <is>
          <t>SAMPLE-POL-1001</t>
        </is>
      </c>
      <c r="D2" s="16" t="inlineStr">
        <is>
          <t>Commercial Package</t>
        </is>
      </c>
      <c r="E2" s="15" t="inlineStr">
        <is>
          <t>Fictional Harbor Mutual</t>
        </is>
      </c>
      <c r="F2" s="34" t="n">
        <v>46230</v>
      </c>
      <c r="G2" s="34" t="n">
        <v>46235</v>
      </c>
      <c r="H2" s="34" t="n">
        <v>46240</v>
      </c>
      <c r="I2" s="18" t="n">
        <v>650</v>
      </c>
      <c r="J2" s="18" t="n">
        <v>650</v>
      </c>
      <c r="K2" s="16" t="inlineStr">
        <is>
          <t>Complete</t>
        </is>
      </c>
      <c r="L2" s="16" t="inlineStr">
        <is>
          <t>Jordan Sample (Fictional)</t>
        </is>
      </c>
      <c r="M2" s="16" t="inlineStr">
        <is>
          <t>Reinstated</t>
        </is>
      </c>
      <c r="N2" s="34" t="n">
        <v>46243</v>
      </c>
      <c r="O2" s="34" t="n">
        <v>46244</v>
      </c>
      <c r="P2" s="34" t="n"/>
      <c r="Q2" s="19" t="inlineStr">
        <is>
          <t>Receipt and completed items recorded; reinstatement outcome entered.</t>
        </is>
      </c>
      <c r="R2" s="20">
        <f>IF($G2="","",IFERROR(IF(OR($M2="Reinstated",$M2="Declined",$M2="Withdrawn"),IF($N2="","",MAX(0,$N2-$G2)),MAX(0,TODAY()-$G2)),""))</f>
        <v/>
      </c>
      <c r="S2" s="6">
        <f>IF($I2="","",IFERROR(MAX(0,$I2-IF($J2="",0,$J2)),""))</f>
        <v/>
      </c>
      <c r="T2" s="21">
        <f>IF($A2="","",IF(OR(AND($F2&lt;&gt;"",$G2&lt;&gt;"",$F2&gt;$G2),AND($N2&lt;&gt;"",$G2&lt;&gt;"",$N2&lt;$G2)),"Check date order",IF($M2="","Check outcome status",IF(AND(OR($M2="Reinstated",$M2="Declined",$M2="Withdrawn"),$N2=""),"Check decision date",IF(AND($M2="Reinstated",$O2=""),"Check effective date",IF(AND($M2="Reinstated",$S2&gt;0),"Check balance",IF(AND(OR($M2="Not Submitted",$M2="Submitted"),$H2&lt;&gt;"",AND($K2&lt;&gt;"Complete",$K2&lt;&gt;"Not Required"),$H2&lt;TODAY()),"Check overdue requirements",IF(AND(OR($M2="Not Submitted",$M2="Submitted"),$H2&lt;&gt;"",AND($K2&lt;&gt;"Complete",$K2&lt;&gt;"Not Required"),$H2&gt;=TODAY(),$H2&lt;=TODAY()+IFERROR(VLOOKUP("Due-soon window (days)",Assumptions!$A$2:$B$7,2,FALSE),0)),"Check requirements due soon",IF(AND(OR($M2="Not Submitted",$M2="Submitted"),$P2&lt;&gt;"",$P2&lt;=TODAY()),"Check follow-up",IF(AND(OR($M2="Not Submitted",$M2="Submitted"),$G2&lt;&gt;"",TODAY()-$G2&gt;IFERROR(VLOOKUP("Open case review target (days)",Assumptions!$A$2:$B$7,2,FALSE),99999)),"Check open duration",""))))))))))</f>
        <v/>
      </c>
    </row>
    <row r="3" ht="36" customHeight="1">
      <c r="A3" s="15" t="inlineStr">
        <is>
          <t>SAMPLE-RI-002</t>
        </is>
      </c>
      <c r="B3" s="15" t="inlineStr">
        <is>
          <t>Fictional Bluebird Bakery LLC</t>
        </is>
      </c>
      <c r="C3" s="15" t="inlineStr">
        <is>
          <t>SAMPLE-POL-1002</t>
        </is>
      </c>
      <c r="D3" s="16" t="inlineStr">
        <is>
          <t>General Liability</t>
        </is>
      </c>
      <c r="E3" s="15" t="inlineStr">
        <is>
          <t>Fictional Northstar Indemnity</t>
        </is>
      </c>
      <c r="F3" s="34" t="n">
        <v>46255</v>
      </c>
      <c r="G3" s="34" t="n">
        <v>46263</v>
      </c>
      <c r="H3" s="34" t="n">
        <v>46273</v>
      </c>
      <c r="I3" s="18" t="n">
        <v>420</v>
      </c>
      <c r="J3" s="18" t="n">
        <v>200</v>
      </c>
      <c r="K3" s="16" t="inlineStr">
        <is>
          <t>Pending</t>
        </is>
      </c>
      <c r="L3" s="16" t="inlineStr">
        <is>
          <t>Riley Example (Fictional)</t>
        </is>
      </c>
      <c r="M3" s="16" t="inlineStr">
        <is>
          <t>Submitted</t>
        </is>
      </c>
      <c r="N3" s="34" t="n"/>
      <c r="O3" s="34" t="n"/>
      <c r="P3" s="34" t="n">
        <v>46274</v>
      </c>
      <c r="Q3" s="19" t="inlineStr">
        <is>
          <t>Awaiting a remaining requested item.</t>
        </is>
      </c>
      <c r="R3" s="22">
        <f>IF($G3="","",IFERROR(IF(OR($M3="Reinstated",$M3="Declined",$M3="Withdrawn"),IF($N3="","",MAX(0,$N3-$G3)),MAX(0,TODAY()-$G3)),""))</f>
        <v/>
      </c>
      <c r="S3" s="10">
        <f>IF($I3="","",IFERROR(MAX(0,$I3-IF($J3="",0,$J3)),""))</f>
        <v/>
      </c>
      <c r="T3" s="23">
        <f>IF($A3="","",IF(OR(AND($F3&lt;&gt;"",$G3&lt;&gt;"",$F3&gt;$G3),AND($N3&lt;&gt;"",$G3&lt;&gt;"",$N3&lt;$G3)),"Check date order",IF($M3="","Check outcome status",IF(AND(OR($M3="Reinstated",$M3="Declined",$M3="Withdrawn"),$N3=""),"Check decision date",IF(AND($M3="Reinstated",$O3=""),"Check effective date",IF(AND($M3="Reinstated",$S3&gt;0),"Check balance",IF(AND(OR($M3="Not Submitted",$M3="Submitted"),$H3&lt;&gt;"",AND($K3&lt;&gt;"Complete",$K3&lt;&gt;"Not Required"),$H3&lt;TODAY()),"Check overdue requirements",IF(AND(OR($M3="Not Submitted",$M3="Submitted"),$H3&lt;&gt;"",AND($K3&lt;&gt;"Complete",$K3&lt;&gt;"Not Required"),$H3&gt;=TODAY(),$H3&lt;=TODAY()+IFERROR(VLOOKUP("Due-soon window (days)",Assumptions!$A$2:$B$7,2,FALSE),0)),"Check requirements due soon",IF(AND(OR($M3="Not Submitted",$M3="Submitted"),$P3&lt;&gt;"",$P3&lt;=TODAY()),"Check follow-up",IF(AND(OR($M3="Not Submitted",$M3="Submitted"),$G3&lt;&gt;"",TODAY()-$G3&gt;IFERROR(VLOOKUP("Open case review target (days)",Assumptions!$A$2:$B$7,2,FALSE),99999)),"Check open duration",""))))))))))</f>
        <v/>
      </c>
    </row>
    <row r="4" ht="36" customHeight="1">
      <c r="A4" s="15" t="inlineStr">
        <is>
          <t>SAMPLE-RI-003</t>
        </is>
      </c>
      <c r="B4" s="15" t="inlineStr">
        <is>
          <t>Fictional Lantern Repair Co.</t>
        </is>
      </c>
      <c r="C4" s="15" t="inlineStr">
        <is>
          <t>SAMPLE-POL-1003</t>
        </is>
      </c>
      <c r="D4" s="16" t="inlineStr">
        <is>
          <t>Business Auto</t>
        </is>
      </c>
      <c r="E4" s="15" t="inlineStr">
        <is>
          <t>Fictional Juniper Casualty</t>
        </is>
      </c>
      <c r="F4" s="34" t="n">
        <v>46269</v>
      </c>
      <c r="G4" s="34" t="n">
        <v>46271</v>
      </c>
      <c r="H4" s="34" t="n">
        <v>46278</v>
      </c>
      <c r="I4" s="18" t="n">
        <v>300</v>
      </c>
      <c r="J4" s="18" t="n">
        <v>0</v>
      </c>
      <c r="K4" s="16" t="inlineStr">
        <is>
          <t>Not Started</t>
        </is>
      </c>
      <c r="L4" s="16" t="inlineStr">
        <is>
          <t>Casey Placeholder (Fictional)</t>
        </is>
      </c>
      <c r="M4" s="16" t="inlineStr">
        <is>
          <t>Not Submitted</t>
        </is>
      </c>
      <c r="N4" s="34" t="n"/>
      <c r="O4" s="34" t="n"/>
      <c r="P4" s="34" t="n">
        <v>46276</v>
      </c>
      <c r="Q4" s="19" t="inlineStr">
        <is>
          <t>Initial requirements were entered for agency follow-up.</t>
        </is>
      </c>
      <c r="R4" s="20">
        <f>IF($G4="","",IFERROR(IF(OR($M4="Reinstated",$M4="Declined",$M4="Withdrawn"),IF($N4="","",MAX(0,$N4-$G4)),MAX(0,TODAY()-$G4)),""))</f>
        <v/>
      </c>
      <c r="S4" s="6">
        <f>IF($I4="","",IFERROR(MAX(0,$I4-IF($J4="",0,$J4)),""))</f>
        <v/>
      </c>
      <c r="T4" s="21">
        <f>IF($A4="","",IF(OR(AND($F4&lt;&gt;"",$G4&lt;&gt;"",$F4&gt;$G4),AND($N4&lt;&gt;"",$G4&lt;&gt;"",$N4&lt;$G4)),"Check date order",IF($M4="","Check outcome status",IF(AND(OR($M4="Reinstated",$M4="Declined",$M4="Withdrawn"),$N4=""),"Check decision date",IF(AND($M4="Reinstated",$O4=""),"Check effective date",IF(AND($M4="Reinstated",$S4&gt;0),"Check balance",IF(AND(OR($M4="Not Submitted",$M4="Submitted"),$H4&lt;&gt;"",AND($K4&lt;&gt;"Complete",$K4&lt;&gt;"Not Required"),$H4&lt;TODAY()),"Check overdue requirements",IF(AND(OR($M4="Not Submitted",$M4="Submitted"),$H4&lt;&gt;"",AND($K4&lt;&gt;"Complete",$K4&lt;&gt;"Not Required"),$H4&gt;=TODAY(),$H4&lt;=TODAY()+IFERROR(VLOOKUP("Due-soon window (days)",Assumptions!$A$2:$B$7,2,FALSE),0)),"Check requirements due soon",IF(AND(OR($M4="Not Submitted",$M4="Submitted"),$P4&lt;&gt;"",$P4&lt;=TODAY()),"Check follow-up",IF(AND(OR($M4="Not Submitted",$M4="Submitted"),$G4&lt;&gt;"",TODAY()-$G4&gt;IFERROR(VLOOKUP("Open case review target (days)",Assumptions!$A$2:$B$7,2,FALSE),99999)),"Check open duration",""))))))))))</f>
        <v/>
      </c>
    </row>
    <row r="5" ht="36" customHeight="1">
      <c r="A5" s="15" t="inlineStr">
        <is>
          <t>SAMPLE-RI-004</t>
        </is>
      </c>
      <c r="B5" s="15" t="inlineStr">
        <is>
          <t>Fictional Maple Rover LLC</t>
        </is>
      </c>
      <c r="C5" s="15" t="inlineStr">
        <is>
          <t>SAMPLE-POL-1004</t>
        </is>
      </c>
      <c r="D5" s="16" t="inlineStr">
        <is>
          <t>Personal Auto</t>
        </is>
      </c>
      <c r="E5" s="15" t="inlineStr">
        <is>
          <t>Fictional Beacon Insurance</t>
        </is>
      </c>
      <c r="F5" s="34" t="n">
        <v>46245</v>
      </c>
      <c r="G5" s="34" t="n">
        <v>46250</v>
      </c>
      <c r="H5" s="34" t="n">
        <v>46254</v>
      </c>
      <c r="I5" s="18" t="n">
        <v>0</v>
      </c>
      <c r="J5" s="18" t="n">
        <v>0</v>
      </c>
      <c r="K5" s="16" t="inlineStr">
        <is>
          <t>Complete</t>
        </is>
      </c>
      <c r="L5" s="16" t="inlineStr">
        <is>
          <t>Morgan Demo (Fictional)</t>
        </is>
      </c>
      <c r="M5" s="16" t="inlineStr">
        <is>
          <t>Declined</t>
        </is>
      </c>
      <c r="N5" s="34" t="n">
        <v>46257</v>
      </c>
      <c r="O5" s="34" t="n"/>
      <c r="P5" s="34" t="n"/>
      <c r="Q5" s="19" t="inlineStr">
        <is>
          <t>Declined outcome and decision date were recorded.</t>
        </is>
      </c>
      <c r="R5" s="22">
        <f>IF($G5="","",IFERROR(IF(OR($M5="Reinstated",$M5="Declined",$M5="Withdrawn"),IF($N5="","",MAX(0,$N5-$G5)),MAX(0,TODAY()-$G5)),""))</f>
        <v/>
      </c>
      <c r="S5" s="10">
        <f>IF($I5="","",IFERROR(MAX(0,$I5-IF($J5="",0,$J5)),""))</f>
        <v/>
      </c>
      <c r="T5" s="23">
        <f>IF($A5="","",IF(OR(AND($F5&lt;&gt;"",$G5&lt;&gt;"",$F5&gt;$G5),AND($N5&lt;&gt;"",$G5&lt;&gt;"",$N5&lt;$G5)),"Check date order",IF($M5="","Check outcome status",IF(AND(OR($M5="Reinstated",$M5="Declined",$M5="Withdrawn"),$N5=""),"Check decision date",IF(AND($M5="Reinstated",$O5=""),"Check effective date",IF(AND($M5="Reinstated",$S5&gt;0),"Check balance",IF(AND(OR($M5="Not Submitted",$M5="Submitted"),$H5&lt;&gt;"",AND($K5&lt;&gt;"Complete",$K5&lt;&gt;"Not Required"),$H5&lt;TODAY()),"Check overdue requirements",IF(AND(OR($M5="Not Submitted",$M5="Submitted"),$H5&lt;&gt;"",AND($K5&lt;&gt;"Complete",$K5&lt;&gt;"Not Required"),$H5&gt;=TODAY(),$H5&lt;=TODAY()+IFERROR(VLOOKUP("Due-soon window (days)",Assumptions!$A$2:$B$7,2,FALSE),0)),"Check requirements due soon",IF(AND(OR($M5="Not Submitted",$M5="Submitted"),$P5&lt;&gt;"",$P5&lt;=TODAY()),"Check follow-up",IF(AND(OR($M5="Not Submitted",$M5="Submitted"),$G5&lt;&gt;"",TODAY()-$G5&gt;IFERROR(VLOOKUP("Open case review target (days)",Assumptions!$A$2:$B$7,2,FALSE),99999)),"Check open duration",""))))))))))</f>
        <v/>
      </c>
    </row>
    <row r="6" ht="36" customHeight="1">
      <c r="A6" s="15" t="inlineStr">
        <is>
          <t>SAMPLE-RI-005</t>
        </is>
      </c>
      <c r="B6" s="15" t="inlineStr">
        <is>
          <t>Fictional Paper Moon Florals LLC</t>
        </is>
      </c>
      <c r="C6" s="15" t="inlineStr">
        <is>
          <t>SAMPLE-POL-1005</t>
        </is>
      </c>
      <c r="D6" s="16" t="inlineStr">
        <is>
          <t>Commercial Package</t>
        </is>
      </c>
      <c r="E6" s="15" t="inlineStr">
        <is>
          <t>Fictional Summit Underwriters</t>
        </is>
      </c>
      <c r="F6" s="34" t="n">
        <v>46252</v>
      </c>
      <c r="G6" s="34" t="n">
        <v>46257</v>
      </c>
      <c r="H6" s="34" t="n">
        <v>46261</v>
      </c>
      <c r="I6" s="18" t="n">
        <v>1200</v>
      </c>
      <c r="J6" s="18" t="n">
        <v>900</v>
      </c>
      <c r="K6" s="16" t="inlineStr">
        <is>
          <t>Complete</t>
        </is>
      </c>
      <c r="L6" s="16" t="inlineStr">
        <is>
          <t>Taylor Test (Fictional)</t>
        </is>
      </c>
      <c r="M6" s="16" t="inlineStr">
        <is>
          <t>Reinstated</t>
        </is>
      </c>
      <c r="N6" s="34" t="n">
        <v>46266</v>
      </c>
      <c r="O6" s="34" t="n">
        <v>46267</v>
      </c>
      <c r="P6" s="34" t="n"/>
      <c r="Q6" s="19" t="inlineStr">
        <is>
          <t>Entered amounts leave a recorded balance for review.</t>
        </is>
      </c>
      <c r="R6" s="20">
        <f>IF($G6="","",IFERROR(IF(OR($M6="Reinstated",$M6="Declined",$M6="Withdrawn"),IF($N6="","",MAX(0,$N6-$G6)),MAX(0,TODAY()-$G6)),""))</f>
        <v/>
      </c>
      <c r="S6" s="6">
        <f>IF($I6="","",IFERROR(MAX(0,$I6-IF($J6="",0,$J6)),""))</f>
        <v/>
      </c>
      <c r="T6" s="21">
        <f>IF($A6="","",IF(OR(AND($F6&lt;&gt;"",$G6&lt;&gt;"",$F6&gt;$G6),AND($N6&lt;&gt;"",$G6&lt;&gt;"",$N6&lt;$G6)),"Check date order",IF($M6="","Check outcome status",IF(AND(OR($M6="Reinstated",$M6="Declined",$M6="Withdrawn"),$N6=""),"Check decision date",IF(AND($M6="Reinstated",$O6=""),"Check effective date",IF(AND($M6="Reinstated",$S6&gt;0),"Check balance",IF(AND(OR($M6="Not Submitted",$M6="Submitted"),$H6&lt;&gt;"",AND($K6&lt;&gt;"Complete",$K6&lt;&gt;"Not Required"),$H6&lt;TODAY()),"Check overdue requirements",IF(AND(OR($M6="Not Submitted",$M6="Submitted"),$H6&lt;&gt;"",AND($K6&lt;&gt;"Complete",$K6&lt;&gt;"Not Required"),$H6&gt;=TODAY(),$H6&lt;=TODAY()+IFERROR(VLOOKUP("Due-soon window (days)",Assumptions!$A$2:$B$7,2,FALSE),0)),"Check requirements due soon",IF(AND(OR($M6="Not Submitted",$M6="Submitted"),$P6&lt;&gt;"",$P6&lt;=TODAY()),"Check follow-up",IF(AND(OR($M6="Not Submitted",$M6="Submitted"),$G6&lt;&gt;"",TODAY()-$G6&gt;IFERROR(VLOOKUP("Open case review target (days)",Assumptions!$A$2:$B$7,2,FALSE),99999)),"Check open duration",""))))))))))</f>
        <v/>
      </c>
    </row>
    <row r="7" ht="36" customHeight="1">
      <c r="A7" s="15" t="inlineStr">
        <is>
          <t>SAMPLE-RI-006</t>
        </is>
      </c>
      <c r="B7" s="15" t="inlineStr">
        <is>
          <t>Fictional Silver Acorn Studio</t>
        </is>
      </c>
      <c r="C7" s="15" t="inlineStr">
        <is>
          <t>SAMPLE-POL-1006</t>
        </is>
      </c>
      <c r="D7" s="16" t="inlineStr">
        <is>
          <t>Homeowners</t>
        </is>
      </c>
      <c r="E7" s="15" t="inlineStr">
        <is>
          <t>Fictional Harbor Mutual</t>
        </is>
      </c>
      <c r="F7" s="34" t="n">
        <v>46265</v>
      </c>
      <c r="G7" s="34" t="n">
        <v>46267</v>
      </c>
      <c r="H7" s="34" t="n">
        <v>46270</v>
      </c>
      <c r="I7" s="18" t="n">
        <v>150</v>
      </c>
      <c r="J7" s="18" t="n">
        <v>150</v>
      </c>
      <c r="K7" s="16" t="inlineStr">
        <is>
          <t>Pending</t>
        </is>
      </c>
      <c r="L7" s="16" t="inlineStr">
        <is>
          <t>Jordan Sample (Fictional)</t>
        </is>
      </c>
      <c r="M7" s="16" t="inlineStr">
        <is>
          <t>Withdrawn</t>
        </is>
      </c>
      <c r="N7" s="34" t="n">
        <v>46272</v>
      </c>
      <c r="O7" s="34" t="n"/>
      <c r="P7" s="34" t="n"/>
      <c r="Q7" s="19" t="inlineStr">
        <is>
          <t>The fictional request was withdrawn and the outcome was entered.</t>
        </is>
      </c>
      <c r="R7" s="22">
        <f>IF($G7="","",IFERROR(IF(OR($M7="Reinstated",$M7="Declined",$M7="Withdrawn"),IF($N7="","",MAX(0,$N7-$G7)),MAX(0,TODAY()-$G7)),""))</f>
        <v/>
      </c>
      <c r="S7" s="10">
        <f>IF($I7="","",IFERROR(MAX(0,$I7-IF($J7="",0,$J7)),""))</f>
        <v/>
      </c>
      <c r="T7" s="23">
        <f>IF($A7="","",IF(OR(AND($F7&lt;&gt;"",$G7&lt;&gt;"",$F7&gt;$G7),AND($N7&lt;&gt;"",$G7&lt;&gt;"",$N7&lt;$G7)),"Check date order",IF($M7="","Check outcome status",IF(AND(OR($M7="Reinstated",$M7="Declined",$M7="Withdrawn"),$N7=""),"Check decision date",IF(AND($M7="Reinstated",$O7=""),"Check effective date",IF(AND($M7="Reinstated",$S7&gt;0),"Check balance",IF(AND(OR($M7="Not Submitted",$M7="Submitted"),$H7&lt;&gt;"",AND($K7&lt;&gt;"Complete",$K7&lt;&gt;"Not Required"),$H7&lt;TODAY()),"Check overdue requirements",IF(AND(OR($M7="Not Submitted",$M7="Submitted"),$H7&lt;&gt;"",AND($K7&lt;&gt;"Complete",$K7&lt;&gt;"Not Required"),$H7&gt;=TODAY(),$H7&lt;=TODAY()+IFERROR(VLOOKUP("Due-soon window (days)",Assumptions!$A$2:$B$7,2,FALSE),0)),"Check requirements due soon",IF(AND(OR($M7="Not Submitted",$M7="Submitted"),$P7&lt;&gt;"",$P7&lt;=TODAY()),"Check follow-up",IF(AND(OR($M7="Not Submitted",$M7="Submitted"),$G7&lt;&gt;"",TODAY()-$G7&gt;IFERROR(VLOOKUP("Open case review target (days)",Assumptions!$A$2:$B$7,2,FALSE),99999)),"Check open duration",""))))))))))</f>
        <v/>
      </c>
    </row>
    <row r="8" ht="36" customHeight="1">
      <c r="A8" s="15" t="inlineStr">
        <is>
          <t>SAMPLE-RI-007</t>
        </is>
      </c>
      <c r="B8" s="15" t="inlineStr">
        <is>
          <t>Fictional Copper Finch Cafe LLC</t>
        </is>
      </c>
      <c r="C8" s="15" t="inlineStr">
        <is>
          <t>SAMPLE-POL-1007</t>
        </is>
      </c>
      <c r="D8" s="16" t="inlineStr">
        <is>
          <t>General Liability</t>
        </is>
      </c>
      <c r="E8" s="15" t="inlineStr">
        <is>
          <t>Fictional Northstar Indemnity</t>
        </is>
      </c>
      <c r="F8" s="34" t="n">
        <v>46251</v>
      </c>
      <c r="G8" s="34" t="n">
        <v>46255</v>
      </c>
      <c r="H8" s="34" t="n">
        <v>46260</v>
      </c>
      <c r="I8" s="18" t="n">
        <v>0</v>
      </c>
      <c r="J8" s="18" t="n">
        <v>0</v>
      </c>
      <c r="K8" s="16" t="inlineStr">
        <is>
          <t>Complete</t>
        </is>
      </c>
      <c r="L8" s="16" t="inlineStr">
        <is>
          <t>Riley Example (Fictional)</t>
        </is>
      </c>
      <c r="M8" s="16" t="inlineStr">
        <is>
          <t>Submitted</t>
        </is>
      </c>
      <c r="N8" s="34" t="n"/>
      <c r="O8" s="34" t="n"/>
      <c r="P8" s="34" t="n">
        <v>46277</v>
      </c>
      <c r="Q8" s="19" t="inlineStr">
        <is>
          <t>Completed requirements are recorded; the request remains submitted.</t>
        </is>
      </c>
      <c r="R8" s="20">
        <f>IF($G8="","",IFERROR(IF(OR($M8="Reinstated",$M8="Declined",$M8="Withdrawn"),IF($N8="","",MAX(0,$N8-$G8)),MAX(0,TODAY()-$G8)),""))</f>
        <v/>
      </c>
      <c r="S8" s="6">
        <f>IF($I8="","",IFERROR(MAX(0,$I8-IF($J8="",0,$J8)),""))</f>
        <v/>
      </c>
      <c r="T8" s="21">
        <f>IF($A8="","",IF(OR(AND($F8&lt;&gt;"",$G8&lt;&gt;"",$F8&gt;$G8),AND($N8&lt;&gt;"",$G8&lt;&gt;"",$N8&lt;$G8)),"Check date order",IF($M8="","Check outcome status",IF(AND(OR($M8="Reinstated",$M8="Declined",$M8="Withdrawn"),$N8=""),"Check decision date",IF(AND($M8="Reinstated",$O8=""),"Check effective date",IF(AND($M8="Reinstated",$S8&gt;0),"Check balance",IF(AND(OR($M8="Not Submitted",$M8="Submitted"),$H8&lt;&gt;"",AND($K8&lt;&gt;"Complete",$K8&lt;&gt;"Not Required"),$H8&lt;TODAY()),"Check overdue requirements",IF(AND(OR($M8="Not Submitted",$M8="Submitted"),$H8&lt;&gt;"",AND($K8&lt;&gt;"Complete",$K8&lt;&gt;"Not Required"),$H8&gt;=TODAY(),$H8&lt;=TODAY()+IFERROR(VLOOKUP("Due-soon window (days)",Assumptions!$A$2:$B$7,2,FALSE),0)),"Check requirements due soon",IF(AND(OR($M8="Not Submitted",$M8="Submitted"),$P8&lt;&gt;"",$P8&lt;=TODAY()),"Check follow-up",IF(AND(OR($M8="Not Submitted",$M8="Submitted"),$G8&lt;&gt;"",TODAY()-$G8&gt;IFERROR(VLOOKUP("Open case review target (days)",Assumptions!$A$2:$B$7,2,FALSE),99999)),"Check open duration",""))))))))))</f>
        <v/>
      </c>
    </row>
    <row r="9" ht="36" customHeight="1">
      <c r="A9" s="15" t="inlineStr">
        <is>
          <t>SAMPLE-RI-008</t>
        </is>
      </c>
      <c r="B9" s="15" t="inlineStr">
        <is>
          <t>Fictional Starboard Books LLC</t>
        </is>
      </c>
      <c r="C9" s="15" t="inlineStr">
        <is>
          <t>SAMPLE-POL-1008</t>
        </is>
      </c>
      <c r="D9" s="16" t="inlineStr">
        <is>
          <t>Commercial Package</t>
        </is>
      </c>
      <c r="E9" s="15" t="inlineStr">
        <is>
          <t>Fictional Juniper Casualty</t>
        </is>
      </c>
      <c r="F9" s="34" t="n">
        <v>46267</v>
      </c>
      <c r="G9" s="34" t="n">
        <v>46270</v>
      </c>
      <c r="H9" s="34" t="n">
        <v>46274</v>
      </c>
      <c r="I9" s="18" t="n">
        <v>75</v>
      </c>
      <c r="J9" s="18" t="n">
        <v>75</v>
      </c>
      <c r="K9" s="16" t="inlineStr">
        <is>
          <t>Complete</t>
        </is>
      </c>
      <c r="L9" s="16" t="inlineStr">
        <is>
          <t>Casey Placeholder (Fictional)</t>
        </is>
      </c>
      <c r="M9" s="16" t="inlineStr">
        <is>
          <t>Submitted</t>
        </is>
      </c>
      <c r="N9" s="34" t="n"/>
      <c r="O9" s="34" t="n"/>
      <c r="P9" s="34" t="n">
        <v>46275</v>
      </c>
      <c r="Q9" s="19" t="inlineStr">
        <is>
          <t>The entered follow-up date is today.</t>
        </is>
      </c>
      <c r="R9" s="22">
        <f>IF($G9="","",IFERROR(IF(OR($M9="Reinstated",$M9="Declined",$M9="Withdrawn"),IF($N9="","",MAX(0,$N9-$G9)),MAX(0,TODAY()-$G9)),""))</f>
        <v/>
      </c>
      <c r="S9" s="10">
        <f>IF($I9="","",IFERROR(MAX(0,$I9-IF($J9="",0,$J9)),""))</f>
        <v/>
      </c>
      <c r="T9" s="23">
        <f>IF($A9="","",IF(OR(AND($F9&lt;&gt;"",$G9&lt;&gt;"",$F9&gt;$G9),AND($N9&lt;&gt;"",$G9&lt;&gt;"",$N9&lt;$G9)),"Check date order",IF($M9="","Check outcome status",IF(AND(OR($M9="Reinstated",$M9="Declined",$M9="Withdrawn"),$N9=""),"Check decision date",IF(AND($M9="Reinstated",$O9=""),"Check effective date",IF(AND($M9="Reinstated",$S9&gt;0),"Check balance",IF(AND(OR($M9="Not Submitted",$M9="Submitted"),$H9&lt;&gt;"",AND($K9&lt;&gt;"Complete",$K9&lt;&gt;"Not Required"),$H9&lt;TODAY()),"Check overdue requirements",IF(AND(OR($M9="Not Submitted",$M9="Submitted"),$H9&lt;&gt;"",AND($K9&lt;&gt;"Complete",$K9&lt;&gt;"Not Required"),$H9&gt;=TODAY(),$H9&lt;=TODAY()+IFERROR(VLOOKUP("Due-soon window (days)",Assumptions!$A$2:$B$7,2,FALSE),0)),"Check requirements due soon",IF(AND(OR($M9="Not Submitted",$M9="Submitted"),$P9&lt;&gt;"",$P9&lt;=TODAY()),"Check follow-up",IF(AND(OR($M9="Not Submitted",$M9="Submitted"),$G9&lt;&gt;"",TODAY()-$G9&gt;IFERROR(VLOOKUP("Open case review target (days)",Assumptions!$A$2:$B$7,2,FALSE),99999)),"Check open duration",""))))))))))</f>
        <v/>
      </c>
    </row>
    <row r="10" ht="36" customHeight="1">
      <c r="A10" s="15" t="inlineStr">
        <is>
          <t>SAMPLE-RI-009</t>
        </is>
      </c>
      <c r="B10" s="15" t="inlineStr">
        <is>
          <t>Fictional Willow Clockworks LLC</t>
        </is>
      </c>
      <c r="C10" s="15" t="inlineStr">
        <is>
          <t>SAMPLE-POL-1009</t>
        </is>
      </c>
      <c r="D10" s="16" t="inlineStr">
        <is>
          <t>Business Auto</t>
        </is>
      </c>
      <c r="E10" s="15" t="inlineStr">
        <is>
          <t>Fictional Beacon Insurance</t>
        </is>
      </c>
      <c r="F10" s="34" t="n">
        <v>46258</v>
      </c>
      <c r="G10" s="34" t="n">
        <v>46260</v>
      </c>
      <c r="H10" s="34" t="n">
        <v>46264</v>
      </c>
      <c r="I10" s="18" t="n">
        <v>500</v>
      </c>
      <c r="J10" s="18" t="n">
        <v>500</v>
      </c>
      <c r="K10" s="16" t="inlineStr">
        <is>
          <t>Complete</t>
        </is>
      </c>
      <c r="L10" s="16" t="inlineStr">
        <is>
          <t>Morgan Demo (Fictional)</t>
        </is>
      </c>
      <c r="M10" s="16" t="inlineStr">
        <is>
          <t>Reinstated</t>
        </is>
      </c>
      <c r="N10" s="34" t="n"/>
      <c r="O10" s="34" t="n">
        <v>46265</v>
      </c>
      <c r="P10" s="34" t="n"/>
      <c r="Q10" s="19" t="inlineStr">
        <is>
          <t>The outcome is entered, but the decision date remains available for review.</t>
        </is>
      </c>
      <c r="R10" s="20">
        <f>IF($G10="","",IFERROR(IF(OR($M10="Reinstated",$M10="Declined",$M10="Withdrawn"),IF($N10="","",MAX(0,$N10-$G10)),MAX(0,TODAY()-$G10)),""))</f>
        <v/>
      </c>
      <c r="S10" s="6">
        <f>IF($I10="","",IFERROR(MAX(0,$I10-IF($J10="",0,$J10)),""))</f>
        <v/>
      </c>
      <c r="T10" s="21">
        <f>IF($A10="","",IF(OR(AND($F10&lt;&gt;"",$G10&lt;&gt;"",$F10&gt;$G10),AND($N10&lt;&gt;"",$G10&lt;&gt;"",$N10&lt;$G10)),"Check date order",IF($M10="","Check outcome status",IF(AND(OR($M10="Reinstated",$M10="Declined",$M10="Withdrawn"),$N10=""),"Check decision date",IF(AND($M10="Reinstated",$O10=""),"Check effective date",IF(AND($M10="Reinstated",$S10&gt;0),"Check balance",IF(AND(OR($M10="Not Submitted",$M10="Submitted"),$H10&lt;&gt;"",AND($K10&lt;&gt;"Complete",$K10&lt;&gt;"Not Required"),$H10&lt;TODAY()),"Check overdue requirements",IF(AND(OR($M10="Not Submitted",$M10="Submitted"),$H10&lt;&gt;"",AND($K10&lt;&gt;"Complete",$K10&lt;&gt;"Not Required"),$H10&gt;=TODAY(),$H10&lt;=TODAY()+IFERROR(VLOOKUP("Due-soon window (days)",Assumptions!$A$2:$B$7,2,FALSE),0)),"Check requirements due soon",IF(AND(OR($M10="Not Submitted",$M10="Submitted"),$P10&lt;&gt;"",$P10&lt;=TODAY()),"Check follow-up",IF(AND(OR($M10="Not Submitted",$M10="Submitted"),$G10&lt;&gt;"",TODAY()-$G10&gt;IFERROR(VLOOKUP("Open case review target (days)",Assumptions!$A$2:$B$7,2,FALSE),99999)),"Check open duration",""))))))))))</f>
        <v/>
      </c>
    </row>
    <row r="11" ht="36" customHeight="1">
      <c r="A11" s="15" t="inlineStr">
        <is>
          <t>SAMPLE-RI-010</t>
        </is>
      </c>
      <c r="B11" s="15" t="inlineStr">
        <is>
          <t>Fictional Sunny Pebble Crafts LLC</t>
        </is>
      </c>
      <c r="C11" s="15" t="inlineStr">
        <is>
          <t>SAMPLE-POL-1010</t>
        </is>
      </c>
      <c r="D11" s="16" t="inlineStr">
        <is>
          <t>General Liability</t>
        </is>
      </c>
      <c r="E11" s="15" t="inlineStr">
        <is>
          <t>Fictional Summit Underwriters</t>
        </is>
      </c>
      <c r="F11" s="34" t="n">
        <v>46274</v>
      </c>
      <c r="G11" s="34" t="n">
        <v>46275</v>
      </c>
      <c r="H11" s="34" t="n">
        <v>46275</v>
      </c>
      <c r="I11" s="18" t="n">
        <v>0</v>
      </c>
      <c r="J11" s="18" t="n">
        <v>0</v>
      </c>
      <c r="K11" s="16" t="inlineStr">
        <is>
          <t>Not Required</t>
        </is>
      </c>
      <c r="L11" s="16" t="inlineStr">
        <is>
          <t>Taylor Test (Fictional)</t>
        </is>
      </c>
      <c r="M11" s="16" t="inlineStr">
        <is>
          <t>Not Submitted</t>
        </is>
      </c>
      <c r="N11" s="34" t="n"/>
      <c r="O11" s="34" t="n"/>
      <c r="P11" s="34" t="n">
        <v>46278</v>
      </c>
      <c r="Q11" s="19" t="inlineStr">
        <is>
          <t>A same-day fictional request was entered with no requirements recorded.</t>
        </is>
      </c>
      <c r="R11" s="22">
        <f>IF($G11="","",IFERROR(IF(OR($M11="Reinstated",$M11="Declined",$M11="Withdrawn"),IF($N11="","",MAX(0,$N11-$G11)),MAX(0,TODAY()-$G11)),""))</f>
        <v/>
      </c>
      <c r="S11" s="10">
        <f>IF($I11="","",IFERROR(MAX(0,$I11-IF($J11="",0,$J11)),""))</f>
        <v/>
      </c>
      <c r="T11" s="23">
        <f>IF($A11="","",IF(OR(AND($F11&lt;&gt;"",$G11&lt;&gt;"",$F11&gt;$G11),AND($N11&lt;&gt;"",$G11&lt;&gt;"",$N11&lt;$G11)),"Check date order",IF($M11="","Check outcome status",IF(AND(OR($M11="Reinstated",$M11="Declined",$M11="Withdrawn"),$N11=""),"Check decision date",IF(AND($M11="Reinstated",$O11=""),"Check effective date",IF(AND($M11="Reinstated",$S11&gt;0),"Check balance",IF(AND(OR($M11="Not Submitted",$M11="Submitted"),$H11&lt;&gt;"",AND($K11&lt;&gt;"Complete",$K11&lt;&gt;"Not Required"),$H11&lt;TODAY()),"Check overdue requirements",IF(AND(OR($M11="Not Submitted",$M11="Submitted"),$H11&lt;&gt;"",AND($K11&lt;&gt;"Complete",$K11&lt;&gt;"Not Required"),$H11&gt;=TODAY(),$H11&lt;=TODAY()+IFERROR(VLOOKUP("Due-soon window (days)",Assumptions!$A$2:$B$7,2,FALSE),0)),"Check requirements due soon",IF(AND(OR($M11="Not Submitted",$M11="Submitted"),$P11&lt;&gt;"",$P11&lt;=TODAY()),"Check follow-up",IF(AND(OR($M11="Not Submitted",$M11="Submitted"),$G11&lt;&gt;"",TODAY()-$G11&gt;IFERROR(VLOOKUP("Open case review target (days)",Assumptions!$A$2:$B$7,2,FALSE),99999)),"Check open duration",""))))))))))</f>
        <v/>
      </c>
    </row>
    <row r="12" ht="22" customHeight="1">
      <c r="A12" s="15" t="n"/>
      <c r="B12" s="15" t="n"/>
      <c r="C12" s="15" t="n"/>
      <c r="D12" s="16" t="n"/>
      <c r="E12" s="15" t="n"/>
      <c r="F12" s="34" t="n"/>
      <c r="G12" s="34" t="n"/>
      <c r="H12" s="34" t="n"/>
      <c r="I12" s="18" t="n"/>
      <c r="J12" s="18" t="n"/>
      <c r="K12" s="16" t="n"/>
      <c r="L12" s="16" t="n"/>
      <c r="M12" s="16" t="n"/>
      <c r="N12" s="34" t="n"/>
      <c r="O12" s="34" t="n"/>
      <c r="P12" s="34" t="n"/>
      <c r="Q12" s="19" t="n"/>
      <c r="R12" s="20">
        <f>IF($G12="","",IFERROR(IF(OR($M12="Reinstated",$M12="Declined",$M12="Withdrawn"),IF($N12="","",MAX(0,$N12-$G12)),MAX(0,TODAY()-$G12)),""))</f>
        <v/>
      </c>
      <c r="S12" s="6">
        <f>IF($I12="","",IFERROR(MAX(0,$I12-IF($J12="",0,$J12)),""))</f>
        <v/>
      </c>
      <c r="T12" s="21">
        <f>IF($A12="","",IF(OR(AND($F12&lt;&gt;"",$G12&lt;&gt;"",$F12&gt;$G12),AND($N12&lt;&gt;"",$G12&lt;&gt;"",$N12&lt;$G12)),"Check date order",IF($M12="","Check outcome status",IF(AND(OR($M12="Reinstated",$M12="Declined",$M12="Withdrawn"),$N12=""),"Check decision date",IF(AND($M12="Reinstated",$O12=""),"Check effective date",IF(AND($M12="Reinstated",$S12&gt;0),"Check balance",IF(AND(OR($M12="Not Submitted",$M12="Submitted"),$H12&lt;&gt;"",AND($K12&lt;&gt;"Complete",$K12&lt;&gt;"Not Required"),$H12&lt;TODAY()),"Check overdue requirements",IF(AND(OR($M12="Not Submitted",$M12="Submitted"),$H12&lt;&gt;"",AND($K12&lt;&gt;"Complete",$K12&lt;&gt;"Not Required"),$H12&gt;=TODAY(),$H12&lt;=TODAY()+IFERROR(VLOOKUP("Due-soon window (days)",Assumptions!$A$2:$B$7,2,FALSE),0)),"Check requirements due soon",IF(AND(OR($M12="Not Submitted",$M12="Submitted"),$P12&lt;&gt;"",$P12&lt;=TODAY()),"Check follow-up",IF(AND(OR($M12="Not Submitted",$M12="Submitted"),$G12&lt;&gt;"",TODAY()-$G12&gt;IFERROR(VLOOKUP("Open case review target (days)",Assumptions!$A$2:$B$7,2,FALSE),99999)),"Check open duration",""))))))))))</f>
        <v/>
      </c>
    </row>
    <row r="13" ht="22" customHeight="1">
      <c r="A13" s="15" t="n"/>
      <c r="B13" s="15" t="n"/>
      <c r="C13" s="15" t="n"/>
      <c r="D13" s="16" t="n"/>
      <c r="E13" s="15" t="n"/>
      <c r="F13" s="34" t="n"/>
      <c r="G13" s="34" t="n"/>
      <c r="H13" s="34" t="n"/>
      <c r="I13" s="18" t="n"/>
      <c r="J13" s="18" t="n"/>
      <c r="K13" s="16" t="n"/>
      <c r="L13" s="16" t="n"/>
      <c r="M13" s="16" t="n"/>
      <c r="N13" s="34" t="n"/>
      <c r="O13" s="34" t="n"/>
      <c r="P13" s="34" t="n"/>
      <c r="Q13" s="19" t="n"/>
      <c r="R13" s="22">
        <f>IF($G13="","",IFERROR(IF(OR($M13="Reinstated",$M13="Declined",$M13="Withdrawn"),IF($N13="","",MAX(0,$N13-$G13)),MAX(0,TODAY()-$G13)),""))</f>
        <v/>
      </c>
      <c r="S13" s="10">
        <f>IF($I13="","",IFERROR(MAX(0,$I13-IF($J13="",0,$J13)),""))</f>
        <v/>
      </c>
      <c r="T13" s="23">
        <f>IF($A13="","",IF(OR(AND($F13&lt;&gt;"",$G13&lt;&gt;"",$F13&gt;$G13),AND($N13&lt;&gt;"",$G13&lt;&gt;"",$N13&lt;$G13)),"Check date order",IF($M13="","Check outcome status",IF(AND(OR($M13="Reinstated",$M13="Declined",$M13="Withdrawn"),$N13=""),"Check decision date",IF(AND($M13="Reinstated",$O13=""),"Check effective date",IF(AND($M13="Reinstated",$S13&gt;0),"Check balance",IF(AND(OR($M13="Not Submitted",$M13="Submitted"),$H13&lt;&gt;"",AND($K13&lt;&gt;"Complete",$K13&lt;&gt;"Not Required"),$H13&lt;TODAY()),"Check overdue requirements",IF(AND(OR($M13="Not Submitted",$M13="Submitted"),$H13&lt;&gt;"",AND($K13&lt;&gt;"Complete",$K13&lt;&gt;"Not Required"),$H13&gt;=TODAY(),$H13&lt;=TODAY()+IFERROR(VLOOKUP("Due-soon window (days)",Assumptions!$A$2:$B$7,2,FALSE),0)),"Check requirements due soon",IF(AND(OR($M13="Not Submitted",$M13="Submitted"),$P13&lt;&gt;"",$P13&lt;=TODAY()),"Check follow-up",IF(AND(OR($M13="Not Submitted",$M13="Submitted"),$G13&lt;&gt;"",TODAY()-$G13&gt;IFERROR(VLOOKUP("Open case review target (days)",Assumptions!$A$2:$B$7,2,FALSE),99999)),"Check open duration",""))))))))))</f>
        <v/>
      </c>
    </row>
    <row r="14" ht="22" customHeight="1">
      <c r="A14" s="15" t="n"/>
      <c r="B14" s="15" t="n"/>
      <c r="C14" s="15" t="n"/>
      <c r="D14" s="16" t="n"/>
      <c r="E14" s="15" t="n"/>
      <c r="F14" s="34" t="n"/>
      <c r="G14" s="34" t="n"/>
      <c r="H14" s="34" t="n"/>
      <c r="I14" s="18" t="n"/>
      <c r="J14" s="18" t="n"/>
      <c r="K14" s="16" t="n"/>
      <c r="L14" s="16" t="n"/>
      <c r="M14" s="16" t="n"/>
      <c r="N14" s="34" t="n"/>
      <c r="O14" s="34" t="n"/>
      <c r="P14" s="34" t="n"/>
      <c r="Q14" s="19" t="n"/>
      <c r="R14" s="20">
        <f>IF($G14="","",IFERROR(IF(OR($M14="Reinstated",$M14="Declined",$M14="Withdrawn"),IF($N14="","",MAX(0,$N14-$G14)),MAX(0,TODAY()-$G14)),""))</f>
        <v/>
      </c>
      <c r="S14" s="6">
        <f>IF($I14="","",IFERROR(MAX(0,$I14-IF($J14="",0,$J14)),""))</f>
        <v/>
      </c>
      <c r="T14" s="21">
        <f>IF($A14="","",IF(OR(AND($F14&lt;&gt;"",$G14&lt;&gt;"",$F14&gt;$G14),AND($N14&lt;&gt;"",$G14&lt;&gt;"",$N14&lt;$G14)),"Check date order",IF($M14="","Check outcome status",IF(AND(OR($M14="Reinstated",$M14="Declined",$M14="Withdrawn"),$N14=""),"Check decision date",IF(AND($M14="Reinstated",$O14=""),"Check effective date",IF(AND($M14="Reinstated",$S14&gt;0),"Check balance",IF(AND(OR($M14="Not Submitted",$M14="Submitted"),$H14&lt;&gt;"",AND($K14&lt;&gt;"Complete",$K14&lt;&gt;"Not Required"),$H14&lt;TODAY()),"Check overdue requirements",IF(AND(OR($M14="Not Submitted",$M14="Submitted"),$H14&lt;&gt;"",AND($K14&lt;&gt;"Complete",$K14&lt;&gt;"Not Required"),$H14&gt;=TODAY(),$H14&lt;=TODAY()+IFERROR(VLOOKUP("Due-soon window (days)",Assumptions!$A$2:$B$7,2,FALSE),0)),"Check requirements due soon",IF(AND(OR($M14="Not Submitted",$M14="Submitted"),$P14&lt;&gt;"",$P14&lt;=TODAY()),"Check follow-up",IF(AND(OR($M14="Not Submitted",$M14="Submitted"),$G14&lt;&gt;"",TODAY()-$G14&gt;IFERROR(VLOOKUP("Open case review target (days)",Assumptions!$A$2:$B$7,2,FALSE),99999)),"Check open duration",""))))))))))</f>
        <v/>
      </c>
    </row>
    <row r="15" ht="22" customHeight="1">
      <c r="A15" s="15" t="n"/>
      <c r="B15" s="15" t="n"/>
      <c r="C15" s="15" t="n"/>
      <c r="D15" s="16" t="n"/>
      <c r="E15" s="15" t="n"/>
      <c r="F15" s="34" t="n"/>
      <c r="G15" s="34" t="n"/>
      <c r="H15" s="34" t="n"/>
      <c r="I15" s="18" t="n"/>
      <c r="J15" s="18" t="n"/>
      <c r="K15" s="16" t="n"/>
      <c r="L15" s="16" t="n"/>
      <c r="M15" s="16" t="n"/>
      <c r="N15" s="34" t="n"/>
      <c r="O15" s="34" t="n"/>
      <c r="P15" s="34" t="n"/>
      <c r="Q15" s="19" t="n"/>
      <c r="R15" s="22">
        <f>IF($G15="","",IFERROR(IF(OR($M15="Reinstated",$M15="Declined",$M15="Withdrawn"),IF($N15="","",MAX(0,$N15-$G15)),MAX(0,TODAY()-$G15)),""))</f>
        <v/>
      </c>
      <c r="S15" s="10">
        <f>IF($I15="","",IFERROR(MAX(0,$I15-IF($J15="",0,$J15)),""))</f>
        <v/>
      </c>
      <c r="T15" s="23">
        <f>IF($A15="","",IF(OR(AND($F15&lt;&gt;"",$G15&lt;&gt;"",$F15&gt;$G15),AND($N15&lt;&gt;"",$G15&lt;&gt;"",$N15&lt;$G15)),"Check date order",IF($M15="","Check outcome status",IF(AND(OR($M15="Reinstated",$M15="Declined",$M15="Withdrawn"),$N15=""),"Check decision date",IF(AND($M15="Reinstated",$O15=""),"Check effective date",IF(AND($M15="Reinstated",$S15&gt;0),"Check balance",IF(AND(OR($M15="Not Submitted",$M15="Submitted"),$H15&lt;&gt;"",AND($K15&lt;&gt;"Complete",$K15&lt;&gt;"Not Required"),$H15&lt;TODAY()),"Check overdue requirements",IF(AND(OR($M15="Not Submitted",$M15="Submitted"),$H15&lt;&gt;"",AND($K15&lt;&gt;"Complete",$K15&lt;&gt;"Not Required"),$H15&gt;=TODAY(),$H15&lt;=TODAY()+IFERROR(VLOOKUP("Due-soon window (days)",Assumptions!$A$2:$B$7,2,FALSE),0)),"Check requirements due soon",IF(AND(OR($M15="Not Submitted",$M15="Submitted"),$P15&lt;&gt;"",$P15&lt;=TODAY()),"Check follow-up",IF(AND(OR($M15="Not Submitted",$M15="Submitted"),$G15&lt;&gt;"",TODAY()-$G15&gt;IFERROR(VLOOKUP("Open case review target (days)",Assumptions!$A$2:$B$7,2,FALSE),99999)),"Check open duration",""))))))))))</f>
        <v/>
      </c>
    </row>
    <row r="16" ht="22" customHeight="1">
      <c r="A16" s="15" t="n"/>
      <c r="B16" s="15" t="n"/>
      <c r="C16" s="15" t="n"/>
      <c r="D16" s="16" t="n"/>
      <c r="E16" s="15" t="n"/>
      <c r="F16" s="34" t="n"/>
      <c r="G16" s="34" t="n"/>
      <c r="H16" s="34" t="n"/>
      <c r="I16" s="18" t="n"/>
      <c r="J16" s="18" t="n"/>
      <c r="K16" s="16" t="n"/>
      <c r="L16" s="16" t="n"/>
      <c r="M16" s="16" t="n"/>
      <c r="N16" s="34" t="n"/>
      <c r="O16" s="34" t="n"/>
      <c r="P16" s="34" t="n"/>
      <c r="Q16" s="19" t="n"/>
      <c r="R16" s="20">
        <f>IF($G16="","",IFERROR(IF(OR($M16="Reinstated",$M16="Declined",$M16="Withdrawn"),IF($N16="","",MAX(0,$N16-$G16)),MAX(0,TODAY()-$G16)),""))</f>
        <v/>
      </c>
      <c r="S16" s="6">
        <f>IF($I16="","",IFERROR(MAX(0,$I16-IF($J16="",0,$J16)),""))</f>
        <v/>
      </c>
      <c r="T16" s="21">
        <f>IF($A16="","",IF(OR(AND($F16&lt;&gt;"",$G16&lt;&gt;"",$F16&gt;$G16),AND($N16&lt;&gt;"",$G16&lt;&gt;"",$N16&lt;$G16)),"Check date order",IF($M16="","Check outcome status",IF(AND(OR($M16="Reinstated",$M16="Declined",$M16="Withdrawn"),$N16=""),"Check decision date",IF(AND($M16="Reinstated",$O16=""),"Check effective date",IF(AND($M16="Reinstated",$S16&gt;0),"Check balance",IF(AND(OR($M16="Not Submitted",$M16="Submitted"),$H16&lt;&gt;"",AND($K16&lt;&gt;"Complete",$K16&lt;&gt;"Not Required"),$H16&lt;TODAY()),"Check overdue requirements",IF(AND(OR($M16="Not Submitted",$M16="Submitted"),$H16&lt;&gt;"",AND($K16&lt;&gt;"Complete",$K16&lt;&gt;"Not Required"),$H16&gt;=TODAY(),$H16&lt;=TODAY()+IFERROR(VLOOKUP("Due-soon window (days)",Assumptions!$A$2:$B$7,2,FALSE),0)),"Check requirements due soon",IF(AND(OR($M16="Not Submitted",$M16="Submitted"),$P16&lt;&gt;"",$P16&lt;=TODAY()),"Check follow-up",IF(AND(OR($M16="Not Submitted",$M16="Submitted"),$G16&lt;&gt;"",TODAY()-$G16&gt;IFERROR(VLOOKUP("Open case review target (days)",Assumptions!$A$2:$B$7,2,FALSE),99999)),"Check open duration",""))))))))))</f>
        <v/>
      </c>
    </row>
    <row r="17" ht="22" customHeight="1">
      <c r="A17" s="15" t="n"/>
      <c r="B17" s="15" t="n"/>
      <c r="C17" s="15" t="n"/>
      <c r="D17" s="16" t="n"/>
      <c r="E17" s="15" t="n"/>
      <c r="F17" s="34" t="n"/>
      <c r="G17" s="34" t="n"/>
      <c r="H17" s="34" t="n"/>
      <c r="I17" s="18" t="n"/>
      <c r="J17" s="18" t="n"/>
      <c r="K17" s="16" t="n"/>
      <c r="L17" s="16" t="n"/>
      <c r="M17" s="16" t="n"/>
      <c r="N17" s="34" t="n"/>
      <c r="O17" s="34" t="n"/>
      <c r="P17" s="34" t="n"/>
      <c r="Q17" s="19" t="n"/>
      <c r="R17" s="22">
        <f>IF($G17="","",IFERROR(IF(OR($M17="Reinstated",$M17="Declined",$M17="Withdrawn"),IF($N17="","",MAX(0,$N17-$G17)),MAX(0,TODAY()-$G17)),""))</f>
        <v/>
      </c>
      <c r="S17" s="10">
        <f>IF($I17="","",IFERROR(MAX(0,$I17-IF($J17="",0,$J17)),""))</f>
        <v/>
      </c>
      <c r="T17" s="23">
        <f>IF($A17="","",IF(OR(AND($F17&lt;&gt;"",$G17&lt;&gt;"",$F17&gt;$G17),AND($N17&lt;&gt;"",$G17&lt;&gt;"",$N17&lt;$G17)),"Check date order",IF($M17="","Check outcome status",IF(AND(OR($M17="Reinstated",$M17="Declined",$M17="Withdrawn"),$N17=""),"Check decision date",IF(AND($M17="Reinstated",$O17=""),"Check effective date",IF(AND($M17="Reinstated",$S17&gt;0),"Check balance",IF(AND(OR($M17="Not Submitted",$M17="Submitted"),$H17&lt;&gt;"",AND($K17&lt;&gt;"Complete",$K17&lt;&gt;"Not Required"),$H17&lt;TODAY()),"Check overdue requirements",IF(AND(OR($M17="Not Submitted",$M17="Submitted"),$H17&lt;&gt;"",AND($K17&lt;&gt;"Complete",$K17&lt;&gt;"Not Required"),$H17&gt;=TODAY(),$H17&lt;=TODAY()+IFERROR(VLOOKUP("Due-soon window (days)",Assumptions!$A$2:$B$7,2,FALSE),0)),"Check requirements due soon",IF(AND(OR($M17="Not Submitted",$M17="Submitted"),$P17&lt;&gt;"",$P17&lt;=TODAY()),"Check follow-up",IF(AND(OR($M17="Not Submitted",$M17="Submitted"),$G17&lt;&gt;"",TODAY()-$G17&gt;IFERROR(VLOOKUP("Open case review target (days)",Assumptions!$A$2:$B$7,2,FALSE),99999)),"Check open duration",""))))))))))</f>
        <v/>
      </c>
    </row>
    <row r="18" ht="22" customHeight="1">
      <c r="A18" s="15" t="n"/>
      <c r="B18" s="15" t="n"/>
      <c r="C18" s="15" t="n"/>
      <c r="D18" s="16" t="n"/>
      <c r="E18" s="15" t="n"/>
      <c r="F18" s="34" t="n"/>
      <c r="G18" s="34" t="n"/>
      <c r="H18" s="34" t="n"/>
      <c r="I18" s="18" t="n"/>
      <c r="J18" s="18" t="n"/>
      <c r="K18" s="16" t="n"/>
      <c r="L18" s="16" t="n"/>
      <c r="M18" s="16" t="n"/>
      <c r="N18" s="34" t="n"/>
      <c r="O18" s="34" t="n"/>
      <c r="P18" s="34" t="n"/>
      <c r="Q18" s="19" t="n"/>
      <c r="R18" s="20">
        <f>IF($G18="","",IFERROR(IF(OR($M18="Reinstated",$M18="Declined",$M18="Withdrawn"),IF($N18="","",MAX(0,$N18-$G18)),MAX(0,TODAY()-$G18)),""))</f>
        <v/>
      </c>
      <c r="S18" s="6">
        <f>IF($I18="","",IFERROR(MAX(0,$I18-IF($J18="",0,$J18)),""))</f>
        <v/>
      </c>
      <c r="T18" s="21">
        <f>IF($A18="","",IF(OR(AND($F18&lt;&gt;"",$G18&lt;&gt;"",$F18&gt;$G18),AND($N18&lt;&gt;"",$G18&lt;&gt;"",$N18&lt;$G18)),"Check date order",IF($M18="","Check outcome status",IF(AND(OR($M18="Reinstated",$M18="Declined",$M18="Withdrawn"),$N18=""),"Check decision date",IF(AND($M18="Reinstated",$O18=""),"Check effective date",IF(AND($M18="Reinstated",$S18&gt;0),"Check balance",IF(AND(OR($M18="Not Submitted",$M18="Submitted"),$H18&lt;&gt;"",AND($K18&lt;&gt;"Complete",$K18&lt;&gt;"Not Required"),$H18&lt;TODAY()),"Check overdue requirements",IF(AND(OR($M18="Not Submitted",$M18="Submitted"),$H18&lt;&gt;"",AND($K18&lt;&gt;"Complete",$K18&lt;&gt;"Not Required"),$H18&gt;=TODAY(),$H18&lt;=TODAY()+IFERROR(VLOOKUP("Due-soon window (days)",Assumptions!$A$2:$B$7,2,FALSE),0)),"Check requirements due soon",IF(AND(OR($M18="Not Submitted",$M18="Submitted"),$P18&lt;&gt;"",$P18&lt;=TODAY()),"Check follow-up",IF(AND(OR($M18="Not Submitted",$M18="Submitted"),$G18&lt;&gt;"",TODAY()-$G18&gt;IFERROR(VLOOKUP("Open case review target (days)",Assumptions!$A$2:$B$7,2,FALSE),99999)),"Check open duration",""))))))))))</f>
        <v/>
      </c>
    </row>
    <row r="19" ht="22" customHeight="1">
      <c r="A19" s="15" t="n"/>
      <c r="B19" s="15" t="n"/>
      <c r="C19" s="15" t="n"/>
      <c r="D19" s="16" t="n"/>
      <c r="E19" s="15" t="n"/>
      <c r="F19" s="34" t="n"/>
      <c r="G19" s="34" t="n"/>
      <c r="H19" s="34" t="n"/>
      <c r="I19" s="18" t="n"/>
      <c r="J19" s="18" t="n"/>
      <c r="K19" s="16" t="n"/>
      <c r="L19" s="16" t="n"/>
      <c r="M19" s="16" t="n"/>
      <c r="N19" s="34" t="n"/>
      <c r="O19" s="34" t="n"/>
      <c r="P19" s="34" t="n"/>
      <c r="Q19" s="19" t="n"/>
      <c r="R19" s="22">
        <f>IF($G19="","",IFERROR(IF(OR($M19="Reinstated",$M19="Declined",$M19="Withdrawn"),IF($N19="","",MAX(0,$N19-$G19)),MAX(0,TODAY()-$G19)),""))</f>
        <v/>
      </c>
      <c r="S19" s="10">
        <f>IF($I19="","",IFERROR(MAX(0,$I19-IF($J19="",0,$J19)),""))</f>
        <v/>
      </c>
      <c r="T19" s="23">
        <f>IF($A19="","",IF(OR(AND($F19&lt;&gt;"",$G19&lt;&gt;"",$F19&gt;$G19),AND($N19&lt;&gt;"",$G19&lt;&gt;"",$N19&lt;$G19)),"Check date order",IF($M19="","Check outcome status",IF(AND(OR($M19="Reinstated",$M19="Declined",$M19="Withdrawn"),$N19=""),"Check decision date",IF(AND($M19="Reinstated",$O19=""),"Check effective date",IF(AND($M19="Reinstated",$S19&gt;0),"Check balance",IF(AND(OR($M19="Not Submitted",$M19="Submitted"),$H19&lt;&gt;"",AND($K19&lt;&gt;"Complete",$K19&lt;&gt;"Not Required"),$H19&lt;TODAY()),"Check overdue requirements",IF(AND(OR($M19="Not Submitted",$M19="Submitted"),$H19&lt;&gt;"",AND($K19&lt;&gt;"Complete",$K19&lt;&gt;"Not Required"),$H19&gt;=TODAY(),$H19&lt;=TODAY()+IFERROR(VLOOKUP("Due-soon window (days)",Assumptions!$A$2:$B$7,2,FALSE),0)),"Check requirements due soon",IF(AND(OR($M19="Not Submitted",$M19="Submitted"),$P19&lt;&gt;"",$P19&lt;=TODAY()),"Check follow-up",IF(AND(OR($M19="Not Submitted",$M19="Submitted"),$G19&lt;&gt;"",TODAY()-$G19&gt;IFERROR(VLOOKUP("Open case review target (days)",Assumptions!$A$2:$B$7,2,FALSE),99999)),"Check open duration",""))))))))))</f>
        <v/>
      </c>
    </row>
    <row r="20" ht="22" customHeight="1">
      <c r="A20" s="15" t="n"/>
      <c r="B20" s="15" t="n"/>
      <c r="C20" s="15" t="n"/>
      <c r="D20" s="16" t="n"/>
      <c r="E20" s="15" t="n"/>
      <c r="F20" s="34" t="n"/>
      <c r="G20" s="34" t="n"/>
      <c r="H20" s="34" t="n"/>
      <c r="I20" s="18" t="n"/>
      <c r="J20" s="18" t="n"/>
      <c r="K20" s="16" t="n"/>
      <c r="L20" s="16" t="n"/>
      <c r="M20" s="16" t="n"/>
      <c r="N20" s="34" t="n"/>
      <c r="O20" s="34" t="n"/>
      <c r="P20" s="34" t="n"/>
      <c r="Q20" s="19" t="n"/>
      <c r="R20" s="20">
        <f>IF($G20="","",IFERROR(IF(OR($M20="Reinstated",$M20="Declined",$M20="Withdrawn"),IF($N20="","",MAX(0,$N20-$G20)),MAX(0,TODAY()-$G20)),""))</f>
        <v/>
      </c>
      <c r="S20" s="6">
        <f>IF($I20="","",IFERROR(MAX(0,$I20-IF($J20="",0,$J20)),""))</f>
        <v/>
      </c>
      <c r="T20" s="21">
        <f>IF($A20="","",IF(OR(AND($F20&lt;&gt;"",$G20&lt;&gt;"",$F20&gt;$G20),AND($N20&lt;&gt;"",$G20&lt;&gt;"",$N20&lt;$G20)),"Check date order",IF($M20="","Check outcome status",IF(AND(OR($M20="Reinstated",$M20="Declined",$M20="Withdrawn"),$N20=""),"Check decision date",IF(AND($M20="Reinstated",$O20=""),"Check effective date",IF(AND($M20="Reinstated",$S20&gt;0),"Check balance",IF(AND(OR($M20="Not Submitted",$M20="Submitted"),$H20&lt;&gt;"",AND($K20&lt;&gt;"Complete",$K20&lt;&gt;"Not Required"),$H20&lt;TODAY()),"Check overdue requirements",IF(AND(OR($M20="Not Submitted",$M20="Submitted"),$H20&lt;&gt;"",AND($K20&lt;&gt;"Complete",$K20&lt;&gt;"Not Required"),$H20&gt;=TODAY(),$H20&lt;=TODAY()+IFERROR(VLOOKUP("Due-soon window (days)",Assumptions!$A$2:$B$7,2,FALSE),0)),"Check requirements due soon",IF(AND(OR($M20="Not Submitted",$M20="Submitted"),$P20&lt;&gt;"",$P20&lt;=TODAY()),"Check follow-up",IF(AND(OR($M20="Not Submitted",$M20="Submitted"),$G20&lt;&gt;"",TODAY()-$G20&gt;IFERROR(VLOOKUP("Open case review target (days)",Assumptions!$A$2:$B$7,2,FALSE),99999)),"Check open duration",""))))))))))</f>
        <v/>
      </c>
    </row>
    <row r="21" ht="22" customHeight="1">
      <c r="A21" s="15" t="n"/>
      <c r="B21" s="15" t="n"/>
      <c r="C21" s="15" t="n"/>
      <c r="D21" s="16" t="n"/>
      <c r="E21" s="15" t="n"/>
      <c r="F21" s="34" t="n"/>
      <c r="G21" s="34" t="n"/>
      <c r="H21" s="34" t="n"/>
      <c r="I21" s="18" t="n"/>
      <c r="J21" s="18" t="n"/>
      <c r="K21" s="16" t="n"/>
      <c r="L21" s="16" t="n"/>
      <c r="M21" s="16" t="n"/>
      <c r="N21" s="34" t="n"/>
      <c r="O21" s="34" t="n"/>
      <c r="P21" s="34" t="n"/>
      <c r="Q21" s="19" t="n"/>
      <c r="R21" s="22">
        <f>IF($G21="","",IFERROR(IF(OR($M21="Reinstated",$M21="Declined",$M21="Withdrawn"),IF($N21="","",MAX(0,$N21-$G21)),MAX(0,TODAY()-$G21)),""))</f>
        <v/>
      </c>
      <c r="S21" s="10">
        <f>IF($I21="","",IFERROR(MAX(0,$I21-IF($J21="",0,$J21)),""))</f>
        <v/>
      </c>
      <c r="T21" s="23">
        <f>IF($A21="","",IF(OR(AND($F21&lt;&gt;"",$G21&lt;&gt;"",$F21&gt;$G21),AND($N21&lt;&gt;"",$G21&lt;&gt;"",$N21&lt;$G21)),"Check date order",IF($M21="","Check outcome status",IF(AND(OR($M21="Reinstated",$M21="Declined",$M21="Withdrawn"),$N21=""),"Check decision date",IF(AND($M21="Reinstated",$O21=""),"Check effective date",IF(AND($M21="Reinstated",$S21&gt;0),"Check balance",IF(AND(OR($M21="Not Submitted",$M21="Submitted"),$H21&lt;&gt;"",AND($K21&lt;&gt;"Complete",$K21&lt;&gt;"Not Required"),$H21&lt;TODAY()),"Check overdue requirements",IF(AND(OR($M21="Not Submitted",$M21="Submitted"),$H21&lt;&gt;"",AND($K21&lt;&gt;"Complete",$K21&lt;&gt;"Not Required"),$H21&gt;=TODAY(),$H21&lt;=TODAY()+IFERROR(VLOOKUP("Due-soon window (days)",Assumptions!$A$2:$B$7,2,FALSE),0)),"Check requirements due soon",IF(AND(OR($M21="Not Submitted",$M21="Submitted"),$P21&lt;&gt;"",$P21&lt;=TODAY()),"Check follow-up",IF(AND(OR($M21="Not Submitted",$M21="Submitted"),$G21&lt;&gt;"",TODAY()-$G21&gt;IFERROR(VLOOKUP("Open case review target (days)",Assumptions!$A$2:$B$7,2,FALSE),99999)),"Check open duration",""))))))))))</f>
        <v/>
      </c>
    </row>
    <row r="22" ht="22" customHeight="1">
      <c r="A22" s="15" t="n"/>
      <c r="B22" s="15" t="n"/>
      <c r="C22" s="15" t="n"/>
      <c r="D22" s="16" t="n"/>
      <c r="E22" s="15" t="n"/>
      <c r="F22" s="34" t="n"/>
      <c r="G22" s="34" t="n"/>
      <c r="H22" s="34" t="n"/>
      <c r="I22" s="18" t="n"/>
      <c r="J22" s="18" t="n"/>
      <c r="K22" s="16" t="n"/>
      <c r="L22" s="16" t="n"/>
      <c r="M22" s="16" t="n"/>
      <c r="N22" s="34" t="n"/>
      <c r="O22" s="34" t="n"/>
      <c r="P22" s="34" t="n"/>
      <c r="Q22" s="19" t="n"/>
      <c r="R22" s="20">
        <f>IF($G22="","",IFERROR(IF(OR($M22="Reinstated",$M22="Declined",$M22="Withdrawn"),IF($N22="","",MAX(0,$N22-$G22)),MAX(0,TODAY()-$G22)),""))</f>
        <v/>
      </c>
      <c r="S22" s="6">
        <f>IF($I22="","",IFERROR(MAX(0,$I22-IF($J22="",0,$J22)),""))</f>
        <v/>
      </c>
      <c r="T22" s="21">
        <f>IF($A22="","",IF(OR(AND($F22&lt;&gt;"",$G22&lt;&gt;"",$F22&gt;$G22),AND($N22&lt;&gt;"",$G22&lt;&gt;"",$N22&lt;$G22)),"Check date order",IF($M22="","Check outcome status",IF(AND(OR($M22="Reinstated",$M22="Declined",$M22="Withdrawn"),$N22=""),"Check decision date",IF(AND($M22="Reinstated",$O22=""),"Check effective date",IF(AND($M22="Reinstated",$S22&gt;0),"Check balance",IF(AND(OR($M22="Not Submitted",$M22="Submitted"),$H22&lt;&gt;"",AND($K22&lt;&gt;"Complete",$K22&lt;&gt;"Not Required"),$H22&lt;TODAY()),"Check overdue requirements",IF(AND(OR($M22="Not Submitted",$M22="Submitted"),$H22&lt;&gt;"",AND($K22&lt;&gt;"Complete",$K22&lt;&gt;"Not Required"),$H22&gt;=TODAY(),$H22&lt;=TODAY()+IFERROR(VLOOKUP("Due-soon window (days)",Assumptions!$A$2:$B$7,2,FALSE),0)),"Check requirements due soon",IF(AND(OR($M22="Not Submitted",$M22="Submitted"),$P22&lt;&gt;"",$P22&lt;=TODAY()),"Check follow-up",IF(AND(OR($M22="Not Submitted",$M22="Submitted"),$G22&lt;&gt;"",TODAY()-$G22&gt;IFERROR(VLOOKUP("Open case review target (days)",Assumptions!$A$2:$B$7,2,FALSE),99999)),"Check open duration",""))))))))))</f>
        <v/>
      </c>
    </row>
    <row r="23" ht="22" customHeight="1">
      <c r="A23" s="15" t="n"/>
      <c r="B23" s="15" t="n"/>
      <c r="C23" s="15" t="n"/>
      <c r="D23" s="16" t="n"/>
      <c r="E23" s="15" t="n"/>
      <c r="F23" s="34" t="n"/>
      <c r="G23" s="34" t="n"/>
      <c r="H23" s="34" t="n"/>
      <c r="I23" s="18" t="n"/>
      <c r="J23" s="18" t="n"/>
      <c r="K23" s="16" t="n"/>
      <c r="L23" s="16" t="n"/>
      <c r="M23" s="16" t="n"/>
      <c r="N23" s="34" t="n"/>
      <c r="O23" s="34" t="n"/>
      <c r="P23" s="34" t="n"/>
      <c r="Q23" s="19" t="n"/>
      <c r="R23" s="22">
        <f>IF($G23="","",IFERROR(IF(OR($M23="Reinstated",$M23="Declined",$M23="Withdrawn"),IF($N23="","",MAX(0,$N23-$G23)),MAX(0,TODAY()-$G23)),""))</f>
        <v/>
      </c>
      <c r="S23" s="10">
        <f>IF($I23="","",IFERROR(MAX(0,$I23-IF($J23="",0,$J23)),""))</f>
        <v/>
      </c>
      <c r="T23" s="23">
        <f>IF($A23="","",IF(OR(AND($F23&lt;&gt;"",$G23&lt;&gt;"",$F23&gt;$G23),AND($N23&lt;&gt;"",$G23&lt;&gt;"",$N23&lt;$G23)),"Check date order",IF($M23="","Check outcome status",IF(AND(OR($M23="Reinstated",$M23="Declined",$M23="Withdrawn"),$N23=""),"Check decision date",IF(AND($M23="Reinstated",$O23=""),"Check effective date",IF(AND($M23="Reinstated",$S23&gt;0),"Check balance",IF(AND(OR($M23="Not Submitted",$M23="Submitted"),$H23&lt;&gt;"",AND($K23&lt;&gt;"Complete",$K23&lt;&gt;"Not Required"),$H23&lt;TODAY()),"Check overdue requirements",IF(AND(OR($M23="Not Submitted",$M23="Submitted"),$H23&lt;&gt;"",AND($K23&lt;&gt;"Complete",$K23&lt;&gt;"Not Required"),$H23&gt;=TODAY(),$H23&lt;=TODAY()+IFERROR(VLOOKUP("Due-soon window (days)",Assumptions!$A$2:$B$7,2,FALSE),0)),"Check requirements due soon",IF(AND(OR($M23="Not Submitted",$M23="Submitted"),$P23&lt;&gt;"",$P23&lt;=TODAY()),"Check follow-up",IF(AND(OR($M23="Not Submitted",$M23="Submitted"),$G23&lt;&gt;"",TODAY()-$G23&gt;IFERROR(VLOOKUP("Open case review target (days)",Assumptions!$A$2:$B$7,2,FALSE),99999)),"Check open duration",""))))))))))</f>
        <v/>
      </c>
    </row>
    <row r="24" ht="22" customHeight="1">
      <c r="A24" s="15" t="n"/>
      <c r="B24" s="15" t="n"/>
      <c r="C24" s="15" t="n"/>
      <c r="D24" s="16" t="n"/>
      <c r="E24" s="15" t="n"/>
      <c r="F24" s="34" t="n"/>
      <c r="G24" s="34" t="n"/>
      <c r="H24" s="34" t="n"/>
      <c r="I24" s="18" t="n"/>
      <c r="J24" s="18" t="n"/>
      <c r="K24" s="16" t="n"/>
      <c r="L24" s="16" t="n"/>
      <c r="M24" s="16" t="n"/>
      <c r="N24" s="34" t="n"/>
      <c r="O24" s="34" t="n"/>
      <c r="P24" s="34" t="n"/>
      <c r="Q24" s="19" t="n"/>
      <c r="R24" s="20">
        <f>IF($G24="","",IFERROR(IF(OR($M24="Reinstated",$M24="Declined",$M24="Withdrawn"),IF($N24="","",MAX(0,$N24-$G24)),MAX(0,TODAY()-$G24)),""))</f>
        <v/>
      </c>
      <c r="S24" s="6">
        <f>IF($I24="","",IFERROR(MAX(0,$I24-IF($J24="",0,$J24)),""))</f>
        <v/>
      </c>
      <c r="T24" s="21">
        <f>IF($A24="","",IF(OR(AND($F24&lt;&gt;"",$G24&lt;&gt;"",$F24&gt;$G24),AND($N24&lt;&gt;"",$G24&lt;&gt;"",$N24&lt;$G24)),"Check date order",IF($M24="","Check outcome status",IF(AND(OR($M24="Reinstated",$M24="Declined",$M24="Withdrawn"),$N24=""),"Check decision date",IF(AND($M24="Reinstated",$O24=""),"Check effective date",IF(AND($M24="Reinstated",$S24&gt;0),"Check balance",IF(AND(OR($M24="Not Submitted",$M24="Submitted"),$H24&lt;&gt;"",AND($K24&lt;&gt;"Complete",$K24&lt;&gt;"Not Required"),$H24&lt;TODAY()),"Check overdue requirements",IF(AND(OR($M24="Not Submitted",$M24="Submitted"),$H24&lt;&gt;"",AND($K24&lt;&gt;"Complete",$K24&lt;&gt;"Not Required"),$H24&gt;=TODAY(),$H24&lt;=TODAY()+IFERROR(VLOOKUP("Due-soon window (days)",Assumptions!$A$2:$B$7,2,FALSE),0)),"Check requirements due soon",IF(AND(OR($M24="Not Submitted",$M24="Submitted"),$P24&lt;&gt;"",$P24&lt;=TODAY()),"Check follow-up",IF(AND(OR($M24="Not Submitted",$M24="Submitted"),$G24&lt;&gt;"",TODAY()-$G24&gt;IFERROR(VLOOKUP("Open case review target (days)",Assumptions!$A$2:$B$7,2,FALSE),99999)),"Check open duration",""))))))))))</f>
        <v/>
      </c>
    </row>
    <row r="25" ht="22" customHeight="1">
      <c r="A25" s="15" t="n"/>
      <c r="B25" s="15" t="n"/>
      <c r="C25" s="15" t="n"/>
      <c r="D25" s="16" t="n"/>
      <c r="E25" s="15" t="n"/>
      <c r="F25" s="34" t="n"/>
      <c r="G25" s="34" t="n"/>
      <c r="H25" s="34" t="n"/>
      <c r="I25" s="18" t="n"/>
      <c r="J25" s="18" t="n"/>
      <c r="K25" s="16" t="n"/>
      <c r="L25" s="16" t="n"/>
      <c r="M25" s="16" t="n"/>
      <c r="N25" s="34" t="n"/>
      <c r="O25" s="34" t="n"/>
      <c r="P25" s="34" t="n"/>
      <c r="Q25" s="19" t="n"/>
      <c r="R25" s="22">
        <f>IF($G25="","",IFERROR(IF(OR($M25="Reinstated",$M25="Declined",$M25="Withdrawn"),IF($N25="","",MAX(0,$N25-$G25)),MAX(0,TODAY()-$G25)),""))</f>
        <v/>
      </c>
      <c r="S25" s="10">
        <f>IF($I25="","",IFERROR(MAX(0,$I25-IF($J25="",0,$J25)),""))</f>
        <v/>
      </c>
      <c r="T25" s="23">
        <f>IF($A25="","",IF(OR(AND($F25&lt;&gt;"",$G25&lt;&gt;"",$F25&gt;$G25),AND($N25&lt;&gt;"",$G25&lt;&gt;"",$N25&lt;$G25)),"Check date order",IF($M25="","Check outcome status",IF(AND(OR($M25="Reinstated",$M25="Declined",$M25="Withdrawn"),$N25=""),"Check decision date",IF(AND($M25="Reinstated",$O25=""),"Check effective date",IF(AND($M25="Reinstated",$S25&gt;0),"Check balance",IF(AND(OR($M25="Not Submitted",$M25="Submitted"),$H25&lt;&gt;"",AND($K25&lt;&gt;"Complete",$K25&lt;&gt;"Not Required"),$H25&lt;TODAY()),"Check overdue requirements",IF(AND(OR($M25="Not Submitted",$M25="Submitted"),$H25&lt;&gt;"",AND($K25&lt;&gt;"Complete",$K25&lt;&gt;"Not Required"),$H25&gt;=TODAY(),$H25&lt;=TODAY()+IFERROR(VLOOKUP("Due-soon window (days)",Assumptions!$A$2:$B$7,2,FALSE),0)),"Check requirements due soon",IF(AND(OR($M25="Not Submitted",$M25="Submitted"),$P25&lt;&gt;"",$P25&lt;=TODAY()),"Check follow-up",IF(AND(OR($M25="Not Submitted",$M25="Submitted"),$G25&lt;&gt;"",TODAY()-$G25&gt;IFERROR(VLOOKUP("Open case review target (days)",Assumptions!$A$2:$B$7,2,FALSE),99999)),"Check open duration",""))))))))))</f>
        <v/>
      </c>
    </row>
    <row r="26" ht="22" customHeight="1">
      <c r="A26" s="15" t="n"/>
      <c r="B26" s="15" t="n"/>
      <c r="C26" s="15" t="n"/>
      <c r="D26" s="16" t="n"/>
      <c r="E26" s="15" t="n"/>
      <c r="F26" s="34" t="n"/>
      <c r="G26" s="34" t="n"/>
      <c r="H26" s="34" t="n"/>
      <c r="I26" s="18" t="n"/>
      <c r="J26" s="18" t="n"/>
      <c r="K26" s="16" t="n"/>
      <c r="L26" s="16" t="n"/>
      <c r="M26" s="16" t="n"/>
      <c r="N26" s="34" t="n"/>
      <c r="O26" s="34" t="n"/>
      <c r="P26" s="34" t="n"/>
      <c r="Q26" s="19" t="n"/>
      <c r="R26" s="20">
        <f>IF($G26="","",IFERROR(IF(OR($M26="Reinstated",$M26="Declined",$M26="Withdrawn"),IF($N26="","",MAX(0,$N26-$G26)),MAX(0,TODAY()-$G26)),""))</f>
        <v/>
      </c>
      <c r="S26" s="6">
        <f>IF($I26="","",IFERROR(MAX(0,$I26-IF($J26="",0,$J26)),""))</f>
        <v/>
      </c>
      <c r="T26" s="21">
        <f>IF($A26="","",IF(OR(AND($F26&lt;&gt;"",$G26&lt;&gt;"",$F26&gt;$G26),AND($N26&lt;&gt;"",$G26&lt;&gt;"",$N26&lt;$G26)),"Check date order",IF($M26="","Check outcome status",IF(AND(OR($M26="Reinstated",$M26="Declined",$M26="Withdrawn"),$N26=""),"Check decision date",IF(AND($M26="Reinstated",$O26=""),"Check effective date",IF(AND($M26="Reinstated",$S26&gt;0),"Check balance",IF(AND(OR($M26="Not Submitted",$M26="Submitted"),$H26&lt;&gt;"",AND($K26&lt;&gt;"Complete",$K26&lt;&gt;"Not Required"),$H26&lt;TODAY()),"Check overdue requirements",IF(AND(OR($M26="Not Submitted",$M26="Submitted"),$H26&lt;&gt;"",AND($K26&lt;&gt;"Complete",$K26&lt;&gt;"Not Required"),$H26&gt;=TODAY(),$H26&lt;=TODAY()+IFERROR(VLOOKUP("Due-soon window (days)",Assumptions!$A$2:$B$7,2,FALSE),0)),"Check requirements due soon",IF(AND(OR($M26="Not Submitted",$M26="Submitted"),$P26&lt;&gt;"",$P26&lt;=TODAY()),"Check follow-up",IF(AND(OR($M26="Not Submitted",$M26="Submitted"),$G26&lt;&gt;"",TODAY()-$G26&gt;IFERROR(VLOOKUP("Open case review target (days)",Assumptions!$A$2:$B$7,2,FALSE),99999)),"Check open duration",""))))))))))</f>
        <v/>
      </c>
    </row>
    <row r="27" ht="22" customHeight="1">
      <c r="A27" s="15" t="n"/>
      <c r="B27" s="15" t="n"/>
      <c r="C27" s="15" t="n"/>
      <c r="D27" s="16" t="n"/>
      <c r="E27" s="15" t="n"/>
      <c r="F27" s="34" t="n"/>
      <c r="G27" s="34" t="n"/>
      <c r="H27" s="34" t="n"/>
      <c r="I27" s="18" t="n"/>
      <c r="J27" s="18" t="n"/>
      <c r="K27" s="16" t="n"/>
      <c r="L27" s="16" t="n"/>
      <c r="M27" s="16" t="n"/>
      <c r="N27" s="34" t="n"/>
      <c r="O27" s="34" t="n"/>
      <c r="P27" s="34" t="n"/>
      <c r="Q27" s="19" t="n"/>
      <c r="R27" s="22">
        <f>IF($G27="","",IFERROR(IF(OR($M27="Reinstated",$M27="Declined",$M27="Withdrawn"),IF($N27="","",MAX(0,$N27-$G27)),MAX(0,TODAY()-$G27)),""))</f>
        <v/>
      </c>
      <c r="S27" s="10">
        <f>IF($I27="","",IFERROR(MAX(0,$I27-IF($J27="",0,$J27)),""))</f>
        <v/>
      </c>
      <c r="T27" s="23">
        <f>IF($A27="","",IF(OR(AND($F27&lt;&gt;"",$G27&lt;&gt;"",$F27&gt;$G27),AND($N27&lt;&gt;"",$G27&lt;&gt;"",$N27&lt;$G27)),"Check date order",IF($M27="","Check outcome status",IF(AND(OR($M27="Reinstated",$M27="Declined",$M27="Withdrawn"),$N27=""),"Check decision date",IF(AND($M27="Reinstated",$O27=""),"Check effective date",IF(AND($M27="Reinstated",$S27&gt;0),"Check balance",IF(AND(OR($M27="Not Submitted",$M27="Submitted"),$H27&lt;&gt;"",AND($K27&lt;&gt;"Complete",$K27&lt;&gt;"Not Required"),$H27&lt;TODAY()),"Check overdue requirements",IF(AND(OR($M27="Not Submitted",$M27="Submitted"),$H27&lt;&gt;"",AND($K27&lt;&gt;"Complete",$K27&lt;&gt;"Not Required"),$H27&gt;=TODAY(),$H27&lt;=TODAY()+IFERROR(VLOOKUP("Due-soon window (days)",Assumptions!$A$2:$B$7,2,FALSE),0)),"Check requirements due soon",IF(AND(OR($M27="Not Submitted",$M27="Submitted"),$P27&lt;&gt;"",$P27&lt;=TODAY()),"Check follow-up",IF(AND(OR($M27="Not Submitted",$M27="Submitted"),$G27&lt;&gt;"",TODAY()-$G27&gt;IFERROR(VLOOKUP("Open case review target (days)",Assumptions!$A$2:$B$7,2,FALSE),99999)),"Check open duration",""))))))))))</f>
        <v/>
      </c>
    </row>
    <row r="28" ht="22" customHeight="1">
      <c r="A28" s="15" t="n"/>
      <c r="B28" s="15" t="n"/>
      <c r="C28" s="15" t="n"/>
      <c r="D28" s="16" t="n"/>
      <c r="E28" s="15" t="n"/>
      <c r="F28" s="34" t="n"/>
      <c r="G28" s="34" t="n"/>
      <c r="H28" s="34" t="n"/>
      <c r="I28" s="18" t="n"/>
      <c r="J28" s="18" t="n"/>
      <c r="K28" s="16" t="n"/>
      <c r="L28" s="16" t="n"/>
      <c r="M28" s="16" t="n"/>
      <c r="N28" s="34" t="n"/>
      <c r="O28" s="34" t="n"/>
      <c r="P28" s="34" t="n"/>
      <c r="Q28" s="19" t="n"/>
      <c r="R28" s="20">
        <f>IF($G28="","",IFERROR(IF(OR($M28="Reinstated",$M28="Declined",$M28="Withdrawn"),IF($N28="","",MAX(0,$N28-$G28)),MAX(0,TODAY()-$G28)),""))</f>
        <v/>
      </c>
      <c r="S28" s="6">
        <f>IF($I28="","",IFERROR(MAX(0,$I28-IF($J28="",0,$J28)),""))</f>
        <v/>
      </c>
      <c r="T28" s="21">
        <f>IF($A28="","",IF(OR(AND($F28&lt;&gt;"",$G28&lt;&gt;"",$F28&gt;$G28),AND($N28&lt;&gt;"",$G28&lt;&gt;"",$N28&lt;$G28)),"Check date order",IF($M28="","Check outcome status",IF(AND(OR($M28="Reinstated",$M28="Declined",$M28="Withdrawn"),$N28=""),"Check decision date",IF(AND($M28="Reinstated",$O28=""),"Check effective date",IF(AND($M28="Reinstated",$S28&gt;0),"Check balance",IF(AND(OR($M28="Not Submitted",$M28="Submitted"),$H28&lt;&gt;"",AND($K28&lt;&gt;"Complete",$K28&lt;&gt;"Not Required"),$H28&lt;TODAY()),"Check overdue requirements",IF(AND(OR($M28="Not Submitted",$M28="Submitted"),$H28&lt;&gt;"",AND($K28&lt;&gt;"Complete",$K28&lt;&gt;"Not Required"),$H28&gt;=TODAY(),$H28&lt;=TODAY()+IFERROR(VLOOKUP("Due-soon window (days)",Assumptions!$A$2:$B$7,2,FALSE),0)),"Check requirements due soon",IF(AND(OR($M28="Not Submitted",$M28="Submitted"),$P28&lt;&gt;"",$P28&lt;=TODAY()),"Check follow-up",IF(AND(OR($M28="Not Submitted",$M28="Submitted"),$G28&lt;&gt;"",TODAY()-$G28&gt;IFERROR(VLOOKUP("Open case review target (days)",Assumptions!$A$2:$B$7,2,FALSE),99999)),"Check open duration",""))))))))))</f>
        <v/>
      </c>
    </row>
    <row r="29" ht="22" customHeight="1">
      <c r="A29" s="15" t="n"/>
      <c r="B29" s="15" t="n"/>
      <c r="C29" s="15" t="n"/>
      <c r="D29" s="16" t="n"/>
      <c r="E29" s="15" t="n"/>
      <c r="F29" s="34" t="n"/>
      <c r="G29" s="34" t="n"/>
      <c r="H29" s="34" t="n"/>
      <c r="I29" s="18" t="n"/>
      <c r="J29" s="18" t="n"/>
      <c r="K29" s="16" t="n"/>
      <c r="L29" s="16" t="n"/>
      <c r="M29" s="16" t="n"/>
      <c r="N29" s="34" t="n"/>
      <c r="O29" s="34" t="n"/>
      <c r="P29" s="34" t="n"/>
      <c r="Q29" s="19" t="n"/>
      <c r="R29" s="22">
        <f>IF($G29="","",IFERROR(IF(OR($M29="Reinstated",$M29="Declined",$M29="Withdrawn"),IF($N29="","",MAX(0,$N29-$G29)),MAX(0,TODAY()-$G29)),""))</f>
        <v/>
      </c>
      <c r="S29" s="10">
        <f>IF($I29="","",IFERROR(MAX(0,$I29-IF($J29="",0,$J29)),""))</f>
        <v/>
      </c>
      <c r="T29" s="23">
        <f>IF($A29="","",IF(OR(AND($F29&lt;&gt;"",$G29&lt;&gt;"",$F29&gt;$G29),AND($N29&lt;&gt;"",$G29&lt;&gt;"",$N29&lt;$G29)),"Check date order",IF($M29="","Check outcome status",IF(AND(OR($M29="Reinstated",$M29="Declined",$M29="Withdrawn"),$N29=""),"Check decision date",IF(AND($M29="Reinstated",$O29=""),"Check effective date",IF(AND($M29="Reinstated",$S29&gt;0),"Check balance",IF(AND(OR($M29="Not Submitted",$M29="Submitted"),$H29&lt;&gt;"",AND($K29&lt;&gt;"Complete",$K29&lt;&gt;"Not Required"),$H29&lt;TODAY()),"Check overdue requirements",IF(AND(OR($M29="Not Submitted",$M29="Submitted"),$H29&lt;&gt;"",AND($K29&lt;&gt;"Complete",$K29&lt;&gt;"Not Required"),$H29&gt;=TODAY(),$H29&lt;=TODAY()+IFERROR(VLOOKUP("Due-soon window (days)",Assumptions!$A$2:$B$7,2,FALSE),0)),"Check requirements due soon",IF(AND(OR($M29="Not Submitted",$M29="Submitted"),$P29&lt;&gt;"",$P29&lt;=TODAY()),"Check follow-up",IF(AND(OR($M29="Not Submitted",$M29="Submitted"),$G29&lt;&gt;"",TODAY()-$G29&gt;IFERROR(VLOOKUP("Open case review target (days)",Assumptions!$A$2:$B$7,2,FALSE),99999)),"Check open duration",""))))))))))</f>
        <v/>
      </c>
    </row>
    <row r="30" ht="22" customHeight="1">
      <c r="A30" s="15" t="n"/>
      <c r="B30" s="15" t="n"/>
      <c r="C30" s="15" t="n"/>
      <c r="D30" s="16" t="n"/>
      <c r="E30" s="15" t="n"/>
      <c r="F30" s="34" t="n"/>
      <c r="G30" s="34" t="n"/>
      <c r="H30" s="34" t="n"/>
      <c r="I30" s="18" t="n"/>
      <c r="J30" s="18" t="n"/>
      <c r="K30" s="16" t="n"/>
      <c r="L30" s="16" t="n"/>
      <c r="M30" s="16" t="n"/>
      <c r="N30" s="34" t="n"/>
      <c r="O30" s="34" t="n"/>
      <c r="P30" s="34" t="n"/>
      <c r="Q30" s="19" t="n"/>
      <c r="R30" s="20">
        <f>IF($G30="","",IFERROR(IF(OR($M30="Reinstated",$M30="Declined",$M30="Withdrawn"),IF($N30="","",MAX(0,$N30-$G30)),MAX(0,TODAY()-$G30)),""))</f>
        <v/>
      </c>
      <c r="S30" s="6">
        <f>IF($I30="","",IFERROR(MAX(0,$I30-IF($J30="",0,$J30)),""))</f>
        <v/>
      </c>
      <c r="T30" s="21">
        <f>IF($A30="","",IF(OR(AND($F30&lt;&gt;"",$G30&lt;&gt;"",$F30&gt;$G30),AND($N30&lt;&gt;"",$G30&lt;&gt;"",$N30&lt;$G30)),"Check date order",IF($M30="","Check outcome status",IF(AND(OR($M30="Reinstated",$M30="Declined",$M30="Withdrawn"),$N30=""),"Check decision date",IF(AND($M30="Reinstated",$O30=""),"Check effective date",IF(AND($M30="Reinstated",$S30&gt;0),"Check balance",IF(AND(OR($M30="Not Submitted",$M30="Submitted"),$H30&lt;&gt;"",AND($K30&lt;&gt;"Complete",$K30&lt;&gt;"Not Required"),$H30&lt;TODAY()),"Check overdue requirements",IF(AND(OR($M30="Not Submitted",$M30="Submitted"),$H30&lt;&gt;"",AND($K30&lt;&gt;"Complete",$K30&lt;&gt;"Not Required"),$H30&gt;=TODAY(),$H30&lt;=TODAY()+IFERROR(VLOOKUP("Due-soon window (days)",Assumptions!$A$2:$B$7,2,FALSE),0)),"Check requirements due soon",IF(AND(OR($M30="Not Submitted",$M30="Submitted"),$P30&lt;&gt;"",$P30&lt;=TODAY()),"Check follow-up",IF(AND(OR($M30="Not Submitted",$M30="Submitted"),$G30&lt;&gt;"",TODAY()-$G30&gt;IFERROR(VLOOKUP("Open case review target (days)",Assumptions!$A$2:$B$7,2,FALSE),99999)),"Check open duration",""))))))))))</f>
        <v/>
      </c>
    </row>
    <row r="31" ht="22" customHeight="1">
      <c r="A31" s="15" t="n"/>
      <c r="B31" s="15" t="n"/>
      <c r="C31" s="15" t="n"/>
      <c r="D31" s="16" t="n"/>
      <c r="E31" s="15" t="n"/>
      <c r="F31" s="34" t="n"/>
      <c r="G31" s="34" t="n"/>
      <c r="H31" s="34" t="n"/>
      <c r="I31" s="18" t="n"/>
      <c r="J31" s="18" t="n"/>
      <c r="K31" s="16" t="n"/>
      <c r="L31" s="16" t="n"/>
      <c r="M31" s="16" t="n"/>
      <c r="N31" s="34" t="n"/>
      <c r="O31" s="34" t="n"/>
      <c r="P31" s="34" t="n"/>
      <c r="Q31" s="19" t="n"/>
      <c r="R31" s="22">
        <f>IF($G31="","",IFERROR(IF(OR($M31="Reinstated",$M31="Declined",$M31="Withdrawn"),IF($N31="","",MAX(0,$N31-$G31)),MAX(0,TODAY()-$G31)),""))</f>
        <v/>
      </c>
      <c r="S31" s="10">
        <f>IF($I31="","",IFERROR(MAX(0,$I31-IF($J31="",0,$J31)),""))</f>
        <v/>
      </c>
      <c r="T31" s="23">
        <f>IF($A31="","",IF(OR(AND($F31&lt;&gt;"",$G31&lt;&gt;"",$F31&gt;$G31),AND($N31&lt;&gt;"",$G31&lt;&gt;"",$N31&lt;$G31)),"Check date order",IF($M31="","Check outcome status",IF(AND(OR($M31="Reinstated",$M31="Declined",$M31="Withdrawn"),$N31=""),"Check decision date",IF(AND($M31="Reinstated",$O31=""),"Check effective date",IF(AND($M31="Reinstated",$S31&gt;0),"Check balance",IF(AND(OR($M31="Not Submitted",$M31="Submitted"),$H31&lt;&gt;"",AND($K31&lt;&gt;"Complete",$K31&lt;&gt;"Not Required"),$H31&lt;TODAY()),"Check overdue requirements",IF(AND(OR($M31="Not Submitted",$M31="Submitted"),$H31&lt;&gt;"",AND($K31&lt;&gt;"Complete",$K31&lt;&gt;"Not Required"),$H31&gt;=TODAY(),$H31&lt;=TODAY()+IFERROR(VLOOKUP("Due-soon window (days)",Assumptions!$A$2:$B$7,2,FALSE),0)),"Check requirements due soon",IF(AND(OR($M31="Not Submitted",$M31="Submitted"),$P31&lt;&gt;"",$P31&lt;=TODAY()),"Check follow-up",IF(AND(OR($M31="Not Submitted",$M31="Submitted"),$G31&lt;&gt;"",TODAY()-$G31&gt;IFERROR(VLOOKUP("Open case review target (days)",Assumptions!$A$2:$B$7,2,FALSE),99999)),"Check open duration",""))))))))))</f>
        <v/>
      </c>
    </row>
    <row r="32" ht="22" customHeight="1">
      <c r="A32" s="15" t="n"/>
      <c r="B32" s="15" t="n"/>
      <c r="C32" s="15" t="n"/>
      <c r="D32" s="16" t="n"/>
      <c r="E32" s="15" t="n"/>
      <c r="F32" s="34" t="n"/>
      <c r="G32" s="34" t="n"/>
      <c r="H32" s="34" t="n"/>
      <c r="I32" s="18" t="n"/>
      <c r="J32" s="18" t="n"/>
      <c r="K32" s="16" t="n"/>
      <c r="L32" s="16" t="n"/>
      <c r="M32" s="16" t="n"/>
      <c r="N32" s="34" t="n"/>
      <c r="O32" s="34" t="n"/>
      <c r="P32" s="34" t="n"/>
      <c r="Q32" s="19" t="n"/>
      <c r="R32" s="20">
        <f>IF($G32="","",IFERROR(IF(OR($M32="Reinstated",$M32="Declined",$M32="Withdrawn"),IF($N32="","",MAX(0,$N32-$G32)),MAX(0,TODAY()-$G32)),""))</f>
        <v/>
      </c>
      <c r="S32" s="6">
        <f>IF($I32="","",IFERROR(MAX(0,$I32-IF($J32="",0,$J32)),""))</f>
        <v/>
      </c>
      <c r="T32" s="21">
        <f>IF($A32="","",IF(OR(AND($F32&lt;&gt;"",$G32&lt;&gt;"",$F32&gt;$G32),AND($N32&lt;&gt;"",$G32&lt;&gt;"",$N32&lt;$G32)),"Check date order",IF($M32="","Check outcome status",IF(AND(OR($M32="Reinstated",$M32="Declined",$M32="Withdrawn"),$N32=""),"Check decision date",IF(AND($M32="Reinstated",$O32=""),"Check effective date",IF(AND($M32="Reinstated",$S32&gt;0),"Check balance",IF(AND(OR($M32="Not Submitted",$M32="Submitted"),$H32&lt;&gt;"",AND($K32&lt;&gt;"Complete",$K32&lt;&gt;"Not Required"),$H32&lt;TODAY()),"Check overdue requirements",IF(AND(OR($M32="Not Submitted",$M32="Submitted"),$H32&lt;&gt;"",AND($K32&lt;&gt;"Complete",$K32&lt;&gt;"Not Required"),$H32&gt;=TODAY(),$H32&lt;=TODAY()+IFERROR(VLOOKUP("Due-soon window (days)",Assumptions!$A$2:$B$7,2,FALSE),0)),"Check requirements due soon",IF(AND(OR($M32="Not Submitted",$M32="Submitted"),$P32&lt;&gt;"",$P32&lt;=TODAY()),"Check follow-up",IF(AND(OR($M32="Not Submitted",$M32="Submitted"),$G32&lt;&gt;"",TODAY()-$G32&gt;IFERROR(VLOOKUP("Open case review target (days)",Assumptions!$A$2:$B$7,2,FALSE),99999)),"Check open duration",""))))))))))</f>
        <v/>
      </c>
    </row>
    <row r="33" ht="22" customHeight="1">
      <c r="A33" s="15" t="n"/>
      <c r="B33" s="15" t="n"/>
      <c r="C33" s="15" t="n"/>
      <c r="D33" s="16" t="n"/>
      <c r="E33" s="15" t="n"/>
      <c r="F33" s="34" t="n"/>
      <c r="G33" s="34" t="n"/>
      <c r="H33" s="34" t="n"/>
      <c r="I33" s="18" t="n"/>
      <c r="J33" s="18" t="n"/>
      <c r="K33" s="16" t="n"/>
      <c r="L33" s="16" t="n"/>
      <c r="M33" s="16" t="n"/>
      <c r="N33" s="34" t="n"/>
      <c r="O33" s="34" t="n"/>
      <c r="P33" s="34" t="n"/>
      <c r="Q33" s="19" t="n"/>
      <c r="R33" s="22">
        <f>IF($G33="","",IFERROR(IF(OR($M33="Reinstated",$M33="Declined",$M33="Withdrawn"),IF($N33="","",MAX(0,$N33-$G33)),MAX(0,TODAY()-$G33)),""))</f>
        <v/>
      </c>
      <c r="S33" s="10">
        <f>IF($I33="","",IFERROR(MAX(0,$I33-IF($J33="",0,$J33)),""))</f>
        <v/>
      </c>
      <c r="T33" s="23">
        <f>IF($A33="","",IF(OR(AND($F33&lt;&gt;"",$G33&lt;&gt;"",$F33&gt;$G33),AND($N33&lt;&gt;"",$G33&lt;&gt;"",$N33&lt;$G33)),"Check date order",IF($M33="","Check outcome status",IF(AND(OR($M33="Reinstated",$M33="Declined",$M33="Withdrawn"),$N33=""),"Check decision date",IF(AND($M33="Reinstated",$O33=""),"Check effective date",IF(AND($M33="Reinstated",$S33&gt;0),"Check balance",IF(AND(OR($M33="Not Submitted",$M33="Submitted"),$H33&lt;&gt;"",AND($K33&lt;&gt;"Complete",$K33&lt;&gt;"Not Required"),$H33&lt;TODAY()),"Check overdue requirements",IF(AND(OR($M33="Not Submitted",$M33="Submitted"),$H33&lt;&gt;"",AND($K33&lt;&gt;"Complete",$K33&lt;&gt;"Not Required"),$H33&gt;=TODAY(),$H33&lt;=TODAY()+IFERROR(VLOOKUP("Due-soon window (days)",Assumptions!$A$2:$B$7,2,FALSE),0)),"Check requirements due soon",IF(AND(OR($M33="Not Submitted",$M33="Submitted"),$P33&lt;&gt;"",$P33&lt;=TODAY()),"Check follow-up",IF(AND(OR($M33="Not Submitted",$M33="Submitted"),$G33&lt;&gt;"",TODAY()-$G33&gt;IFERROR(VLOOKUP("Open case review target (days)",Assumptions!$A$2:$B$7,2,FALSE),99999)),"Check open duration",""))))))))))</f>
        <v/>
      </c>
    </row>
    <row r="34" ht="22" customHeight="1">
      <c r="A34" s="15" t="n"/>
      <c r="B34" s="15" t="n"/>
      <c r="C34" s="15" t="n"/>
      <c r="D34" s="16" t="n"/>
      <c r="E34" s="15" t="n"/>
      <c r="F34" s="34" t="n"/>
      <c r="G34" s="34" t="n"/>
      <c r="H34" s="34" t="n"/>
      <c r="I34" s="18" t="n"/>
      <c r="J34" s="18" t="n"/>
      <c r="K34" s="16" t="n"/>
      <c r="L34" s="16" t="n"/>
      <c r="M34" s="16" t="n"/>
      <c r="N34" s="34" t="n"/>
      <c r="O34" s="34" t="n"/>
      <c r="P34" s="34" t="n"/>
      <c r="Q34" s="19" t="n"/>
      <c r="R34" s="20">
        <f>IF($G34="","",IFERROR(IF(OR($M34="Reinstated",$M34="Declined",$M34="Withdrawn"),IF($N34="","",MAX(0,$N34-$G34)),MAX(0,TODAY()-$G34)),""))</f>
        <v/>
      </c>
      <c r="S34" s="6">
        <f>IF($I34="","",IFERROR(MAX(0,$I34-IF($J34="",0,$J34)),""))</f>
        <v/>
      </c>
      <c r="T34" s="21">
        <f>IF($A34="","",IF(OR(AND($F34&lt;&gt;"",$G34&lt;&gt;"",$F34&gt;$G34),AND($N34&lt;&gt;"",$G34&lt;&gt;"",$N34&lt;$G34)),"Check date order",IF($M34="","Check outcome status",IF(AND(OR($M34="Reinstated",$M34="Declined",$M34="Withdrawn"),$N34=""),"Check decision date",IF(AND($M34="Reinstated",$O34=""),"Check effective date",IF(AND($M34="Reinstated",$S34&gt;0),"Check balance",IF(AND(OR($M34="Not Submitted",$M34="Submitted"),$H34&lt;&gt;"",AND($K34&lt;&gt;"Complete",$K34&lt;&gt;"Not Required"),$H34&lt;TODAY()),"Check overdue requirements",IF(AND(OR($M34="Not Submitted",$M34="Submitted"),$H34&lt;&gt;"",AND($K34&lt;&gt;"Complete",$K34&lt;&gt;"Not Required"),$H34&gt;=TODAY(),$H34&lt;=TODAY()+IFERROR(VLOOKUP("Due-soon window (days)",Assumptions!$A$2:$B$7,2,FALSE),0)),"Check requirements due soon",IF(AND(OR($M34="Not Submitted",$M34="Submitted"),$P34&lt;&gt;"",$P34&lt;=TODAY()),"Check follow-up",IF(AND(OR($M34="Not Submitted",$M34="Submitted"),$G34&lt;&gt;"",TODAY()-$G34&gt;IFERROR(VLOOKUP("Open case review target (days)",Assumptions!$A$2:$B$7,2,FALSE),99999)),"Check open duration",""))))))))))</f>
        <v/>
      </c>
    </row>
    <row r="35" ht="22" customHeight="1">
      <c r="A35" s="15" t="n"/>
      <c r="B35" s="15" t="n"/>
      <c r="C35" s="15" t="n"/>
      <c r="D35" s="16" t="n"/>
      <c r="E35" s="15" t="n"/>
      <c r="F35" s="34" t="n"/>
      <c r="G35" s="34" t="n"/>
      <c r="H35" s="34" t="n"/>
      <c r="I35" s="18" t="n"/>
      <c r="J35" s="18" t="n"/>
      <c r="K35" s="16" t="n"/>
      <c r="L35" s="16" t="n"/>
      <c r="M35" s="16" t="n"/>
      <c r="N35" s="34" t="n"/>
      <c r="O35" s="34" t="n"/>
      <c r="P35" s="34" t="n"/>
      <c r="Q35" s="19" t="n"/>
      <c r="R35" s="22">
        <f>IF($G35="","",IFERROR(IF(OR($M35="Reinstated",$M35="Declined",$M35="Withdrawn"),IF($N35="","",MAX(0,$N35-$G35)),MAX(0,TODAY()-$G35)),""))</f>
        <v/>
      </c>
      <c r="S35" s="10">
        <f>IF($I35="","",IFERROR(MAX(0,$I35-IF($J35="",0,$J35)),""))</f>
        <v/>
      </c>
      <c r="T35" s="23">
        <f>IF($A35="","",IF(OR(AND($F35&lt;&gt;"",$G35&lt;&gt;"",$F35&gt;$G35),AND($N35&lt;&gt;"",$G35&lt;&gt;"",$N35&lt;$G35)),"Check date order",IF($M35="","Check outcome status",IF(AND(OR($M35="Reinstated",$M35="Declined",$M35="Withdrawn"),$N35=""),"Check decision date",IF(AND($M35="Reinstated",$O35=""),"Check effective date",IF(AND($M35="Reinstated",$S35&gt;0),"Check balance",IF(AND(OR($M35="Not Submitted",$M35="Submitted"),$H35&lt;&gt;"",AND($K35&lt;&gt;"Complete",$K35&lt;&gt;"Not Required"),$H35&lt;TODAY()),"Check overdue requirements",IF(AND(OR($M35="Not Submitted",$M35="Submitted"),$H35&lt;&gt;"",AND($K35&lt;&gt;"Complete",$K35&lt;&gt;"Not Required"),$H35&gt;=TODAY(),$H35&lt;=TODAY()+IFERROR(VLOOKUP("Due-soon window (days)",Assumptions!$A$2:$B$7,2,FALSE),0)),"Check requirements due soon",IF(AND(OR($M35="Not Submitted",$M35="Submitted"),$P35&lt;&gt;"",$P35&lt;=TODAY()),"Check follow-up",IF(AND(OR($M35="Not Submitted",$M35="Submitted"),$G35&lt;&gt;"",TODAY()-$G35&gt;IFERROR(VLOOKUP("Open case review target (days)",Assumptions!$A$2:$B$7,2,FALSE),99999)),"Check open duration",""))))))))))</f>
        <v/>
      </c>
    </row>
    <row r="36" ht="22" customHeight="1">
      <c r="A36" s="15" t="n"/>
      <c r="B36" s="15" t="n"/>
      <c r="C36" s="15" t="n"/>
      <c r="D36" s="16" t="n"/>
      <c r="E36" s="15" t="n"/>
      <c r="F36" s="34" t="n"/>
      <c r="G36" s="34" t="n"/>
      <c r="H36" s="34" t="n"/>
      <c r="I36" s="18" t="n"/>
      <c r="J36" s="18" t="n"/>
      <c r="K36" s="16" t="n"/>
      <c r="L36" s="16" t="n"/>
      <c r="M36" s="16" t="n"/>
      <c r="N36" s="34" t="n"/>
      <c r="O36" s="34" t="n"/>
      <c r="P36" s="34" t="n"/>
      <c r="Q36" s="19" t="n"/>
      <c r="R36" s="20">
        <f>IF($G36="","",IFERROR(IF(OR($M36="Reinstated",$M36="Declined",$M36="Withdrawn"),IF($N36="","",MAX(0,$N36-$G36)),MAX(0,TODAY()-$G36)),""))</f>
        <v/>
      </c>
      <c r="S36" s="6">
        <f>IF($I36="","",IFERROR(MAX(0,$I36-IF($J36="",0,$J36)),""))</f>
        <v/>
      </c>
      <c r="T36" s="21">
        <f>IF($A36="","",IF(OR(AND($F36&lt;&gt;"",$G36&lt;&gt;"",$F36&gt;$G36),AND($N36&lt;&gt;"",$G36&lt;&gt;"",$N36&lt;$G36)),"Check date order",IF($M36="","Check outcome status",IF(AND(OR($M36="Reinstated",$M36="Declined",$M36="Withdrawn"),$N36=""),"Check decision date",IF(AND($M36="Reinstated",$O36=""),"Check effective date",IF(AND($M36="Reinstated",$S36&gt;0),"Check balance",IF(AND(OR($M36="Not Submitted",$M36="Submitted"),$H36&lt;&gt;"",AND($K36&lt;&gt;"Complete",$K36&lt;&gt;"Not Required"),$H36&lt;TODAY()),"Check overdue requirements",IF(AND(OR($M36="Not Submitted",$M36="Submitted"),$H36&lt;&gt;"",AND($K36&lt;&gt;"Complete",$K36&lt;&gt;"Not Required"),$H36&gt;=TODAY(),$H36&lt;=TODAY()+IFERROR(VLOOKUP("Due-soon window (days)",Assumptions!$A$2:$B$7,2,FALSE),0)),"Check requirements due soon",IF(AND(OR($M36="Not Submitted",$M36="Submitted"),$P36&lt;&gt;"",$P36&lt;=TODAY()),"Check follow-up",IF(AND(OR($M36="Not Submitted",$M36="Submitted"),$G36&lt;&gt;"",TODAY()-$G36&gt;IFERROR(VLOOKUP("Open case review target (days)",Assumptions!$A$2:$B$7,2,FALSE),99999)),"Check open duration",""))))))))))</f>
        <v/>
      </c>
    </row>
    <row r="37" ht="22" customHeight="1">
      <c r="A37" s="15" t="n"/>
      <c r="B37" s="15" t="n"/>
      <c r="C37" s="15" t="n"/>
      <c r="D37" s="16" t="n"/>
      <c r="E37" s="15" t="n"/>
      <c r="F37" s="34" t="n"/>
      <c r="G37" s="34" t="n"/>
      <c r="H37" s="34" t="n"/>
      <c r="I37" s="18" t="n"/>
      <c r="J37" s="18" t="n"/>
      <c r="K37" s="16" t="n"/>
      <c r="L37" s="16" t="n"/>
      <c r="M37" s="16" t="n"/>
      <c r="N37" s="34" t="n"/>
      <c r="O37" s="34" t="n"/>
      <c r="P37" s="34" t="n"/>
      <c r="Q37" s="19" t="n"/>
      <c r="R37" s="22">
        <f>IF($G37="","",IFERROR(IF(OR($M37="Reinstated",$M37="Declined",$M37="Withdrawn"),IF($N37="","",MAX(0,$N37-$G37)),MAX(0,TODAY()-$G37)),""))</f>
        <v/>
      </c>
      <c r="S37" s="10">
        <f>IF($I37="","",IFERROR(MAX(0,$I37-IF($J37="",0,$J37)),""))</f>
        <v/>
      </c>
      <c r="T37" s="23">
        <f>IF($A37="","",IF(OR(AND($F37&lt;&gt;"",$G37&lt;&gt;"",$F37&gt;$G37),AND($N37&lt;&gt;"",$G37&lt;&gt;"",$N37&lt;$G37)),"Check date order",IF($M37="","Check outcome status",IF(AND(OR($M37="Reinstated",$M37="Declined",$M37="Withdrawn"),$N37=""),"Check decision date",IF(AND($M37="Reinstated",$O37=""),"Check effective date",IF(AND($M37="Reinstated",$S37&gt;0),"Check balance",IF(AND(OR($M37="Not Submitted",$M37="Submitted"),$H37&lt;&gt;"",AND($K37&lt;&gt;"Complete",$K37&lt;&gt;"Not Required"),$H37&lt;TODAY()),"Check overdue requirements",IF(AND(OR($M37="Not Submitted",$M37="Submitted"),$H37&lt;&gt;"",AND($K37&lt;&gt;"Complete",$K37&lt;&gt;"Not Required"),$H37&gt;=TODAY(),$H37&lt;=TODAY()+IFERROR(VLOOKUP("Due-soon window (days)",Assumptions!$A$2:$B$7,2,FALSE),0)),"Check requirements due soon",IF(AND(OR($M37="Not Submitted",$M37="Submitted"),$P37&lt;&gt;"",$P37&lt;=TODAY()),"Check follow-up",IF(AND(OR($M37="Not Submitted",$M37="Submitted"),$G37&lt;&gt;"",TODAY()-$G37&gt;IFERROR(VLOOKUP("Open case review target (days)",Assumptions!$A$2:$B$7,2,FALSE),99999)),"Check open duration",""))))))))))</f>
        <v/>
      </c>
    </row>
    <row r="38" ht="22" customHeight="1">
      <c r="A38" s="15" t="n"/>
      <c r="B38" s="15" t="n"/>
      <c r="C38" s="15" t="n"/>
      <c r="D38" s="16" t="n"/>
      <c r="E38" s="15" t="n"/>
      <c r="F38" s="34" t="n"/>
      <c r="G38" s="34" t="n"/>
      <c r="H38" s="34" t="n"/>
      <c r="I38" s="18" t="n"/>
      <c r="J38" s="18" t="n"/>
      <c r="K38" s="16" t="n"/>
      <c r="L38" s="16" t="n"/>
      <c r="M38" s="16" t="n"/>
      <c r="N38" s="34" t="n"/>
      <c r="O38" s="34" t="n"/>
      <c r="P38" s="34" t="n"/>
      <c r="Q38" s="19" t="n"/>
      <c r="R38" s="20">
        <f>IF($G38="","",IFERROR(IF(OR($M38="Reinstated",$M38="Declined",$M38="Withdrawn"),IF($N38="","",MAX(0,$N38-$G38)),MAX(0,TODAY()-$G38)),""))</f>
        <v/>
      </c>
      <c r="S38" s="6">
        <f>IF($I38="","",IFERROR(MAX(0,$I38-IF($J38="",0,$J38)),""))</f>
        <v/>
      </c>
      <c r="T38" s="21">
        <f>IF($A38="","",IF(OR(AND($F38&lt;&gt;"",$G38&lt;&gt;"",$F38&gt;$G38),AND($N38&lt;&gt;"",$G38&lt;&gt;"",$N38&lt;$G38)),"Check date order",IF($M38="","Check outcome status",IF(AND(OR($M38="Reinstated",$M38="Declined",$M38="Withdrawn"),$N38=""),"Check decision date",IF(AND($M38="Reinstated",$O38=""),"Check effective date",IF(AND($M38="Reinstated",$S38&gt;0),"Check balance",IF(AND(OR($M38="Not Submitted",$M38="Submitted"),$H38&lt;&gt;"",AND($K38&lt;&gt;"Complete",$K38&lt;&gt;"Not Required"),$H38&lt;TODAY()),"Check overdue requirements",IF(AND(OR($M38="Not Submitted",$M38="Submitted"),$H38&lt;&gt;"",AND($K38&lt;&gt;"Complete",$K38&lt;&gt;"Not Required"),$H38&gt;=TODAY(),$H38&lt;=TODAY()+IFERROR(VLOOKUP("Due-soon window (days)",Assumptions!$A$2:$B$7,2,FALSE),0)),"Check requirements due soon",IF(AND(OR($M38="Not Submitted",$M38="Submitted"),$P38&lt;&gt;"",$P38&lt;=TODAY()),"Check follow-up",IF(AND(OR($M38="Not Submitted",$M38="Submitted"),$G38&lt;&gt;"",TODAY()-$G38&gt;IFERROR(VLOOKUP("Open case review target (days)",Assumptions!$A$2:$B$7,2,FALSE),99999)),"Check open duration",""))))))))))</f>
        <v/>
      </c>
    </row>
    <row r="39" ht="22" customHeight="1">
      <c r="A39" s="15" t="n"/>
      <c r="B39" s="15" t="n"/>
      <c r="C39" s="15" t="n"/>
      <c r="D39" s="16" t="n"/>
      <c r="E39" s="15" t="n"/>
      <c r="F39" s="34" t="n"/>
      <c r="G39" s="34" t="n"/>
      <c r="H39" s="34" t="n"/>
      <c r="I39" s="18" t="n"/>
      <c r="J39" s="18" t="n"/>
      <c r="K39" s="16" t="n"/>
      <c r="L39" s="16" t="n"/>
      <c r="M39" s="16" t="n"/>
      <c r="N39" s="34" t="n"/>
      <c r="O39" s="34" t="n"/>
      <c r="P39" s="34" t="n"/>
      <c r="Q39" s="19" t="n"/>
      <c r="R39" s="22">
        <f>IF($G39="","",IFERROR(IF(OR($M39="Reinstated",$M39="Declined",$M39="Withdrawn"),IF($N39="","",MAX(0,$N39-$G39)),MAX(0,TODAY()-$G39)),""))</f>
        <v/>
      </c>
      <c r="S39" s="10">
        <f>IF($I39="","",IFERROR(MAX(0,$I39-IF($J39="",0,$J39)),""))</f>
        <v/>
      </c>
      <c r="T39" s="23">
        <f>IF($A39="","",IF(OR(AND($F39&lt;&gt;"",$G39&lt;&gt;"",$F39&gt;$G39),AND($N39&lt;&gt;"",$G39&lt;&gt;"",$N39&lt;$G39)),"Check date order",IF($M39="","Check outcome status",IF(AND(OR($M39="Reinstated",$M39="Declined",$M39="Withdrawn"),$N39=""),"Check decision date",IF(AND($M39="Reinstated",$O39=""),"Check effective date",IF(AND($M39="Reinstated",$S39&gt;0),"Check balance",IF(AND(OR($M39="Not Submitted",$M39="Submitted"),$H39&lt;&gt;"",AND($K39&lt;&gt;"Complete",$K39&lt;&gt;"Not Required"),$H39&lt;TODAY()),"Check overdue requirements",IF(AND(OR($M39="Not Submitted",$M39="Submitted"),$H39&lt;&gt;"",AND($K39&lt;&gt;"Complete",$K39&lt;&gt;"Not Required"),$H39&gt;=TODAY(),$H39&lt;=TODAY()+IFERROR(VLOOKUP("Due-soon window (days)",Assumptions!$A$2:$B$7,2,FALSE),0)),"Check requirements due soon",IF(AND(OR($M39="Not Submitted",$M39="Submitted"),$P39&lt;&gt;"",$P39&lt;=TODAY()),"Check follow-up",IF(AND(OR($M39="Not Submitted",$M39="Submitted"),$G39&lt;&gt;"",TODAY()-$G39&gt;IFERROR(VLOOKUP("Open case review target (days)",Assumptions!$A$2:$B$7,2,FALSE),99999)),"Check open duration",""))))))))))</f>
        <v/>
      </c>
    </row>
    <row r="40" ht="22" customHeight="1">
      <c r="A40" s="15" t="n"/>
      <c r="B40" s="15" t="n"/>
      <c r="C40" s="15" t="n"/>
      <c r="D40" s="16" t="n"/>
      <c r="E40" s="15" t="n"/>
      <c r="F40" s="34" t="n"/>
      <c r="G40" s="34" t="n"/>
      <c r="H40" s="34" t="n"/>
      <c r="I40" s="18" t="n"/>
      <c r="J40" s="18" t="n"/>
      <c r="K40" s="16" t="n"/>
      <c r="L40" s="16" t="n"/>
      <c r="M40" s="16" t="n"/>
      <c r="N40" s="34" t="n"/>
      <c r="O40" s="34" t="n"/>
      <c r="P40" s="34" t="n"/>
      <c r="Q40" s="19" t="n"/>
      <c r="R40" s="20">
        <f>IF($G40="","",IFERROR(IF(OR($M40="Reinstated",$M40="Declined",$M40="Withdrawn"),IF($N40="","",MAX(0,$N40-$G40)),MAX(0,TODAY()-$G40)),""))</f>
        <v/>
      </c>
      <c r="S40" s="6">
        <f>IF($I40="","",IFERROR(MAX(0,$I40-IF($J40="",0,$J40)),""))</f>
        <v/>
      </c>
      <c r="T40" s="21">
        <f>IF($A40="","",IF(OR(AND($F40&lt;&gt;"",$G40&lt;&gt;"",$F40&gt;$G40),AND($N40&lt;&gt;"",$G40&lt;&gt;"",$N40&lt;$G40)),"Check date order",IF($M40="","Check outcome status",IF(AND(OR($M40="Reinstated",$M40="Declined",$M40="Withdrawn"),$N40=""),"Check decision date",IF(AND($M40="Reinstated",$O40=""),"Check effective date",IF(AND($M40="Reinstated",$S40&gt;0),"Check balance",IF(AND(OR($M40="Not Submitted",$M40="Submitted"),$H40&lt;&gt;"",AND($K40&lt;&gt;"Complete",$K40&lt;&gt;"Not Required"),$H40&lt;TODAY()),"Check overdue requirements",IF(AND(OR($M40="Not Submitted",$M40="Submitted"),$H40&lt;&gt;"",AND($K40&lt;&gt;"Complete",$K40&lt;&gt;"Not Required"),$H40&gt;=TODAY(),$H40&lt;=TODAY()+IFERROR(VLOOKUP("Due-soon window (days)",Assumptions!$A$2:$B$7,2,FALSE),0)),"Check requirements due soon",IF(AND(OR($M40="Not Submitted",$M40="Submitted"),$P40&lt;&gt;"",$P40&lt;=TODAY()),"Check follow-up",IF(AND(OR($M40="Not Submitted",$M40="Submitted"),$G40&lt;&gt;"",TODAY()-$G40&gt;IFERROR(VLOOKUP("Open case review target (days)",Assumptions!$A$2:$B$7,2,FALSE),99999)),"Check open duration",""))))))))))</f>
        <v/>
      </c>
    </row>
    <row r="41" ht="22" customHeight="1">
      <c r="A41" s="15" t="n"/>
      <c r="B41" s="15" t="n"/>
      <c r="C41" s="15" t="n"/>
      <c r="D41" s="16" t="n"/>
      <c r="E41" s="15" t="n"/>
      <c r="F41" s="34" t="n"/>
      <c r="G41" s="34" t="n"/>
      <c r="H41" s="34" t="n"/>
      <c r="I41" s="18" t="n"/>
      <c r="J41" s="18" t="n"/>
      <c r="K41" s="16" t="n"/>
      <c r="L41" s="16" t="n"/>
      <c r="M41" s="16" t="n"/>
      <c r="N41" s="34" t="n"/>
      <c r="O41" s="34" t="n"/>
      <c r="P41" s="34" t="n"/>
      <c r="Q41" s="19" t="n"/>
      <c r="R41" s="22">
        <f>IF($G41="","",IFERROR(IF(OR($M41="Reinstated",$M41="Declined",$M41="Withdrawn"),IF($N41="","",MAX(0,$N41-$G41)),MAX(0,TODAY()-$G41)),""))</f>
        <v/>
      </c>
      <c r="S41" s="10">
        <f>IF($I41="","",IFERROR(MAX(0,$I41-IF($J41="",0,$J41)),""))</f>
        <v/>
      </c>
      <c r="T41" s="23">
        <f>IF($A41="","",IF(OR(AND($F41&lt;&gt;"",$G41&lt;&gt;"",$F41&gt;$G41),AND($N41&lt;&gt;"",$G41&lt;&gt;"",$N41&lt;$G41)),"Check date order",IF($M41="","Check outcome status",IF(AND(OR($M41="Reinstated",$M41="Declined",$M41="Withdrawn"),$N41=""),"Check decision date",IF(AND($M41="Reinstated",$O41=""),"Check effective date",IF(AND($M41="Reinstated",$S41&gt;0),"Check balance",IF(AND(OR($M41="Not Submitted",$M41="Submitted"),$H41&lt;&gt;"",AND($K41&lt;&gt;"Complete",$K41&lt;&gt;"Not Required"),$H41&lt;TODAY()),"Check overdue requirements",IF(AND(OR($M41="Not Submitted",$M41="Submitted"),$H41&lt;&gt;"",AND($K41&lt;&gt;"Complete",$K41&lt;&gt;"Not Required"),$H41&gt;=TODAY(),$H41&lt;=TODAY()+IFERROR(VLOOKUP("Due-soon window (days)",Assumptions!$A$2:$B$7,2,FALSE),0)),"Check requirements due soon",IF(AND(OR($M41="Not Submitted",$M41="Submitted"),$P41&lt;&gt;"",$P41&lt;=TODAY()),"Check follow-up",IF(AND(OR($M41="Not Submitted",$M41="Submitted"),$G41&lt;&gt;"",TODAY()-$G41&gt;IFERROR(VLOOKUP("Open case review target (days)",Assumptions!$A$2:$B$7,2,FALSE),99999)),"Check open duration",""))))))))))</f>
        <v/>
      </c>
    </row>
    <row r="42" ht="22" customHeight="1">
      <c r="A42" s="15" t="n"/>
      <c r="B42" s="15" t="n"/>
      <c r="C42" s="15" t="n"/>
      <c r="D42" s="16" t="n"/>
      <c r="E42" s="15" t="n"/>
      <c r="F42" s="34" t="n"/>
      <c r="G42" s="34" t="n"/>
      <c r="H42" s="34" t="n"/>
      <c r="I42" s="18" t="n"/>
      <c r="J42" s="18" t="n"/>
      <c r="K42" s="16" t="n"/>
      <c r="L42" s="16" t="n"/>
      <c r="M42" s="16" t="n"/>
      <c r="N42" s="34" t="n"/>
      <c r="O42" s="34" t="n"/>
      <c r="P42" s="34" t="n"/>
      <c r="Q42" s="19" t="n"/>
      <c r="R42" s="20">
        <f>IF($G42="","",IFERROR(IF(OR($M42="Reinstated",$M42="Declined",$M42="Withdrawn"),IF($N42="","",MAX(0,$N42-$G42)),MAX(0,TODAY()-$G42)),""))</f>
        <v/>
      </c>
      <c r="S42" s="6">
        <f>IF($I42="","",IFERROR(MAX(0,$I42-IF($J42="",0,$J42)),""))</f>
        <v/>
      </c>
      <c r="T42" s="21">
        <f>IF($A42="","",IF(OR(AND($F42&lt;&gt;"",$G42&lt;&gt;"",$F42&gt;$G42),AND($N42&lt;&gt;"",$G42&lt;&gt;"",$N42&lt;$G42)),"Check date order",IF($M42="","Check outcome status",IF(AND(OR($M42="Reinstated",$M42="Declined",$M42="Withdrawn"),$N42=""),"Check decision date",IF(AND($M42="Reinstated",$O42=""),"Check effective date",IF(AND($M42="Reinstated",$S42&gt;0),"Check balance",IF(AND(OR($M42="Not Submitted",$M42="Submitted"),$H42&lt;&gt;"",AND($K42&lt;&gt;"Complete",$K42&lt;&gt;"Not Required"),$H42&lt;TODAY()),"Check overdue requirements",IF(AND(OR($M42="Not Submitted",$M42="Submitted"),$H42&lt;&gt;"",AND($K42&lt;&gt;"Complete",$K42&lt;&gt;"Not Required"),$H42&gt;=TODAY(),$H42&lt;=TODAY()+IFERROR(VLOOKUP("Due-soon window (days)",Assumptions!$A$2:$B$7,2,FALSE),0)),"Check requirements due soon",IF(AND(OR($M42="Not Submitted",$M42="Submitted"),$P42&lt;&gt;"",$P42&lt;=TODAY()),"Check follow-up",IF(AND(OR($M42="Not Submitted",$M42="Submitted"),$G42&lt;&gt;"",TODAY()-$G42&gt;IFERROR(VLOOKUP("Open case review target (days)",Assumptions!$A$2:$B$7,2,FALSE),99999)),"Check open duration",""))))))))))</f>
        <v/>
      </c>
    </row>
    <row r="43" ht="22" customHeight="1">
      <c r="A43" s="15" t="n"/>
      <c r="B43" s="15" t="n"/>
      <c r="C43" s="15" t="n"/>
      <c r="D43" s="16" t="n"/>
      <c r="E43" s="15" t="n"/>
      <c r="F43" s="34" t="n"/>
      <c r="G43" s="34" t="n"/>
      <c r="H43" s="34" t="n"/>
      <c r="I43" s="18" t="n"/>
      <c r="J43" s="18" t="n"/>
      <c r="K43" s="16" t="n"/>
      <c r="L43" s="16" t="n"/>
      <c r="M43" s="16" t="n"/>
      <c r="N43" s="34" t="n"/>
      <c r="O43" s="34" t="n"/>
      <c r="P43" s="34" t="n"/>
      <c r="Q43" s="19" t="n"/>
      <c r="R43" s="22">
        <f>IF($G43="","",IFERROR(IF(OR($M43="Reinstated",$M43="Declined",$M43="Withdrawn"),IF($N43="","",MAX(0,$N43-$G43)),MAX(0,TODAY()-$G43)),""))</f>
        <v/>
      </c>
      <c r="S43" s="10">
        <f>IF($I43="","",IFERROR(MAX(0,$I43-IF($J43="",0,$J43)),""))</f>
        <v/>
      </c>
      <c r="T43" s="23">
        <f>IF($A43="","",IF(OR(AND($F43&lt;&gt;"",$G43&lt;&gt;"",$F43&gt;$G43),AND($N43&lt;&gt;"",$G43&lt;&gt;"",$N43&lt;$G43)),"Check date order",IF($M43="","Check outcome status",IF(AND(OR($M43="Reinstated",$M43="Declined",$M43="Withdrawn"),$N43=""),"Check decision date",IF(AND($M43="Reinstated",$O43=""),"Check effective date",IF(AND($M43="Reinstated",$S43&gt;0),"Check balance",IF(AND(OR($M43="Not Submitted",$M43="Submitted"),$H43&lt;&gt;"",AND($K43&lt;&gt;"Complete",$K43&lt;&gt;"Not Required"),$H43&lt;TODAY()),"Check overdue requirements",IF(AND(OR($M43="Not Submitted",$M43="Submitted"),$H43&lt;&gt;"",AND($K43&lt;&gt;"Complete",$K43&lt;&gt;"Not Required"),$H43&gt;=TODAY(),$H43&lt;=TODAY()+IFERROR(VLOOKUP("Due-soon window (days)",Assumptions!$A$2:$B$7,2,FALSE),0)),"Check requirements due soon",IF(AND(OR($M43="Not Submitted",$M43="Submitted"),$P43&lt;&gt;"",$P43&lt;=TODAY()),"Check follow-up",IF(AND(OR($M43="Not Submitted",$M43="Submitted"),$G43&lt;&gt;"",TODAY()-$G43&gt;IFERROR(VLOOKUP("Open case review target (days)",Assumptions!$A$2:$B$7,2,FALSE),99999)),"Check open duration",""))))))))))</f>
        <v/>
      </c>
    </row>
    <row r="44" ht="22" customHeight="1">
      <c r="A44" s="15" t="n"/>
      <c r="B44" s="15" t="n"/>
      <c r="C44" s="15" t="n"/>
      <c r="D44" s="16" t="n"/>
      <c r="E44" s="15" t="n"/>
      <c r="F44" s="34" t="n"/>
      <c r="G44" s="34" t="n"/>
      <c r="H44" s="34" t="n"/>
      <c r="I44" s="18" t="n"/>
      <c r="J44" s="18" t="n"/>
      <c r="K44" s="16" t="n"/>
      <c r="L44" s="16" t="n"/>
      <c r="M44" s="16" t="n"/>
      <c r="N44" s="34" t="n"/>
      <c r="O44" s="34" t="n"/>
      <c r="P44" s="34" t="n"/>
      <c r="Q44" s="19" t="n"/>
      <c r="R44" s="20">
        <f>IF($G44="","",IFERROR(IF(OR($M44="Reinstated",$M44="Declined",$M44="Withdrawn"),IF($N44="","",MAX(0,$N44-$G44)),MAX(0,TODAY()-$G44)),""))</f>
        <v/>
      </c>
      <c r="S44" s="6">
        <f>IF($I44="","",IFERROR(MAX(0,$I44-IF($J44="",0,$J44)),""))</f>
        <v/>
      </c>
      <c r="T44" s="21">
        <f>IF($A44="","",IF(OR(AND($F44&lt;&gt;"",$G44&lt;&gt;"",$F44&gt;$G44),AND($N44&lt;&gt;"",$G44&lt;&gt;"",$N44&lt;$G44)),"Check date order",IF($M44="","Check outcome status",IF(AND(OR($M44="Reinstated",$M44="Declined",$M44="Withdrawn"),$N44=""),"Check decision date",IF(AND($M44="Reinstated",$O44=""),"Check effective date",IF(AND($M44="Reinstated",$S44&gt;0),"Check balance",IF(AND(OR($M44="Not Submitted",$M44="Submitted"),$H44&lt;&gt;"",AND($K44&lt;&gt;"Complete",$K44&lt;&gt;"Not Required"),$H44&lt;TODAY()),"Check overdue requirements",IF(AND(OR($M44="Not Submitted",$M44="Submitted"),$H44&lt;&gt;"",AND($K44&lt;&gt;"Complete",$K44&lt;&gt;"Not Required"),$H44&gt;=TODAY(),$H44&lt;=TODAY()+IFERROR(VLOOKUP("Due-soon window (days)",Assumptions!$A$2:$B$7,2,FALSE),0)),"Check requirements due soon",IF(AND(OR($M44="Not Submitted",$M44="Submitted"),$P44&lt;&gt;"",$P44&lt;=TODAY()),"Check follow-up",IF(AND(OR($M44="Not Submitted",$M44="Submitted"),$G44&lt;&gt;"",TODAY()-$G44&gt;IFERROR(VLOOKUP("Open case review target (days)",Assumptions!$A$2:$B$7,2,FALSE),99999)),"Check open duration",""))))))))))</f>
        <v/>
      </c>
    </row>
    <row r="45" ht="22" customHeight="1">
      <c r="A45" s="15" t="n"/>
      <c r="B45" s="15" t="n"/>
      <c r="C45" s="15" t="n"/>
      <c r="D45" s="16" t="n"/>
      <c r="E45" s="15" t="n"/>
      <c r="F45" s="34" t="n"/>
      <c r="G45" s="34" t="n"/>
      <c r="H45" s="34" t="n"/>
      <c r="I45" s="18" t="n"/>
      <c r="J45" s="18" t="n"/>
      <c r="K45" s="16" t="n"/>
      <c r="L45" s="16" t="n"/>
      <c r="M45" s="16" t="n"/>
      <c r="N45" s="34" t="n"/>
      <c r="O45" s="34" t="n"/>
      <c r="P45" s="34" t="n"/>
      <c r="Q45" s="19" t="n"/>
      <c r="R45" s="22">
        <f>IF($G45="","",IFERROR(IF(OR($M45="Reinstated",$M45="Declined",$M45="Withdrawn"),IF($N45="","",MAX(0,$N45-$G45)),MAX(0,TODAY()-$G45)),""))</f>
        <v/>
      </c>
      <c r="S45" s="10">
        <f>IF($I45="","",IFERROR(MAX(0,$I45-IF($J45="",0,$J45)),""))</f>
        <v/>
      </c>
      <c r="T45" s="23">
        <f>IF($A45="","",IF(OR(AND($F45&lt;&gt;"",$G45&lt;&gt;"",$F45&gt;$G45),AND($N45&lt;&gt;"",$G45&lt;&gt;"",$N45&lt;$G45)),"Check date order",IF($M45="","Check outcome status",IF(AND(OR($M45="Reinstated",$M45="Declined",$M45="Withdrawn"),$N45=""),"Check decision date",IF(AND($M45="Reinstated",$O45=""),"Check effective date",IF(AND($M45="Reinstated",$S45&gt;0),"Check balance",IF(AND(OR($M45="Not Submitted",$M45="Submitted"),$H45&lt;&gt;"",AND($K45&lt;&gt;"Complete",$K45&lt;&gt;"Not Required"),$H45&lt;TODAY()),"Check overdue requirements",IF(AND(OR($M45="Not Submitted",$M45="Submitted"),$H45&lt;&gt;"",AND($K45&lt;&gt;"Complete",$K45&lt;&gt;"Not Required"),$H45&gt;=TODAY(),$H45&lt;=TODAY()+IFERROR(VLOOKUP("Due-soon window (days)",Assumptions!$A$2:$B$7,2,FALSE),0)),"Check requirements due soon",IF(AND(OR($M45="Not Submitted",$M45="Submitted"),$P45&lt;&gt;"",$P45&lt;=TODAY()),"Check follow-up",IF(AND(OR($M45="Not Submitted",$M45="Submitted"),$G45&lt;&gt;"",TODAY()-$G45&gt;IFERROR(VLOOKUP("Open case review target (days)",Assumptions!$A$2:$B$7,2,FALSE),99999)),"Check open duration",""))))))))))</f>
        <v/>
      </c>
    </row>
    <row r="46" ht="22" customHeight="1">
      <c r="A46" s="15" t="n"/>
      <c r="B46" s="15" t="n"/>
      <c r="C46" s="15" t="n"/>
      <c r="D46" s="16" t="n"/>
      <c r="E46" s="15" t="n"/>
      <c r="F46" s="34" t="n"/>
      <c r="G46" s="34" t="n"/>
      <c r="H46" s="34" t="n"/>
      <c r="I46" s="18" t="n"/>
      <c r="J46" s="18" t="n"/>
      <c r="K46" s="16" t="n"/>
      <c r="L46" s="16" t="n"/>
      <c r="M46" s="16" t="n"/>
      <c r="N46" s="34" t="n"/>
      <c r="O46" s="34" t="n"/>
      <c r="P46" s="34" t="n"/>
      <c r="Q46" s="19" t="n"/>
      <c r="R46" s="20">
        <f>IF($G46="","",IFERROR(IF(OR($M46="Reinstated",$M46="Declined",$M46="Withdrawn"),IF($N46="","",MAX(0,$N46-$G46)),MAX(0,TODAY()-$G46)),""))</f>
        <v/>
      </c>
      <c r="S46" s="6">
        <f>IF($I46="","",IFERROR(MAX(0,$I46-IF($J46="",0,$J46)),""))</f>
        <v/>
      </c>
      <c r="T46" s="21">
        <f>IF($A46="","",IF(OR(AND($F46&lt;&gt;"",$G46&lt;&gt;"",$F46&gt;$G46),AND($N46&lt;&gt;"",$G46&lt;&gt;"",$N46&lt;$G46)),"Check date order",IF($M46="","Check outcome status",IF(AND(OR($M46="Reinstated",$M46="Declined",$M46="Withdrawn"),$N46=""),"Check decision date",IF(AND($M46="Reinstated",$O46=""),"Check effective date",IF(AND($M46="Reinstated",$S46&gt;0),"Check balance",IF(AND(OR($M46="Not Submitted",$M46="Submitted"),$H46&lt;&gt;"",AND($K46&lt;&gt;"Complete",$K46&lt;&gt;"Not Required"),$H46&lt;TODAY()),"Check overdue requirements",IF(AND(OR($M46="Not Submitted",$M46="Submitted"),$H46&lt;&gt;"",AND($K46&lt;&gt;"Complete",$K46&lt;&gt;"Not Required"),$H46&gt;=TODAY(),$H46&lt;=TODAY()+IFERROR(VLOOKUP("Due-soon window (days)",Assumptions!$A$2:$B$7,2,FALSE),0)),"Check requirements due soon",IF(AND(OR($M46="Not Submitted",$M46="Submitted"),$P46&lt;&gt;"",$P46&lt;=TODAY()),"Check follow-up",IF(AND(OR($M46="Not Submitted",$M46="Submitted"),$G46&lt;&gt;"",TODAY()-$G46&gt;IFERROR(VLOOKUP("Open case review target (days)",Assumptions!$A$2:$B$7,2,FALSE),99999)),"Check open duration",""))))))))))</f>
        <v/>
      </c>
    </row>
    <row r="47" ht="22" customHeight="1">
      <c r="A47" s="15" t="n"/>
      <c r="B47" s="15" t="n"/>
      <c r="C47" s="15" t="n"/>
      <c r="D47" s="16" t="n"/>
      <c r="E47" s="15" t="n"/>
      <c r="F47" s="34" t="n"/>
      <c r="G47" s="34" t="n"/>
      <c r="H47" s="34" t="n"/>
      <c r="I47" s="18" t="n"/>
      <c r="J47" s="18" t="n"/>
      <c r="K47" s="16" t="n"/>
      <c r="L47" s="16" t="n"/>
      <c r="M47" s="16" t="n"/>
      <c r="N47" s="34" t="n"/>
      <c r="O47" s="34" t="n"/>
      <c r="P47" s="34" t="n"/>
      <c r="Q47" s="19" t="n"/>
      <c r="R47" s="22">
        <f>IF($G47="","",IFERROR(IF(OR($M47="Reinstated",$M47="Declined",$M47="Withdrawn"),IF($N47="","",MAX(0,$N47-$G47)),MAX(0,TODAY()-$G47)),""))</f>
        <v/>
      </c>
      <c r="S47" s="10">
        <f>IF($I47="","",IFERROR(MAX(0,$I47-IF($J47="",0,$J47)),""))</f>
        <v/>
      </c>
      <c r="T47" s="23">
        <f>IF($A47="","",IF(OR(AND($F47&lt;&gt;"",$G47&lt;&gt;"",$F47&gt;$G47),AND($N47&lt;&gt;"",$G47&lt;&gt;"",$N47&lt;$G47)),"Check date order",IF($M47="","Check outcome status",IF(AND(OR($M47="Reinstated",$M47="Declined",$M47="Withdrawn"),$N47=""),"Check decision date",IF(AND($M47="Reinstated",$O47=""),"Check effective date",IF(AND($M47="Reinstated",$S47&gt;0),"Check balance",IF(AND(OR($M47="Not Submitted",$M47="Submitted"),$H47&lt;&gt;"",AND($K47&lt;&gt;"Complete",$K47&lt;&gt;"Not Required"),$H47&lt;TODAY()),"Check overdue requirements",IF(AND(OR($M47="Not Submitted",$M47="Submitted"),$H47&lt;&gt;"",AND($K47&lt;&gt;"Complete",$K47&lt;&gt;"Not Required"),$H47&gt;=TODAY(),$H47&lt;=TODAY()+IFERROR(VLOOKUP("Due-soon window (days)",Assumptions!$A$2:$B$7,2,FALSE),0)),"Check requirements due soon",IF(AND(OR($M47="Not Submitted",$M47="Submitted"),$P47&lt;&gt;"",$P47&lt;=TODAY()),"Check follow-up",IF(AND(OR($M47="Not Submitted",$M47="Submitted"),$G47&lt;&gt;"",TODAY()-$G47&gt;IFERROR(VLOOKUP("Open case review target (days)",Assumptions!$A$2:$B$7,2,FALSE),99999)),"Check open duration",""))))))))))</f>
        <v/>
      </c>
    </row>
    <row r="48" ht="22" customHeight="1">
      <c r="A48" s="15" t="n"/>
      <c r="B48" s="15" t="n"/>
      <c r="C48" s="15" t="n"/>
      <c r="D48" s="16" t="n"/>
      <c r="E48" s="15" t="n"/>
      <c r="F48" s="34" t="n"/>
      <c r="G48" s="34" t="n"/>
      <c r="H48" s="34" t="n"/>
      <c r="I48" s="18" t="n"/>
      <c r="J48" s="18" t="n"/>
      <c r="K48" s="16" t="n"/>
      <c r="L48" s="16" t="n"/>
      <c r="M48" s="16" t="n"/>
      <c r="N48" s="34" t="n"/>
      <c r="O48" s="34" t="n"/>
      <c r="P48" s="34" t="n"/>
      <c r="Q48" s="19" t="n"/>
      <c r="R48" s="20">
        <f>IF($G48="","",IFERROR(IF(OR($M48="Reinstated",$M48="Declined",$M48="Withdrawn"),IF($N48="","",MAX(0,$N48-$G48)),MAX(0,TODAY()-$G48)),""))</f>
        <v/>
      </c>
      <c r="S48" s="6">
        <f>IF($I48="","",IFERROR(MAX(0,$I48-IF($J48="",0,$J48)),""))</f>
        <v/>
      </c>
      <c r="T48" s="21">
        <f>IF($A48="","",IF(OR(AND($F48&lt;&gt;"",$G48&lt;&gt;"",$F48&gt;$G48),AND($N48&lt;&gt;"",$G48&lt;&gt;"",$N48&lt;$G48)),"Check date order",IF($M48="","Check outcome status",IF(AND(OR($M48="Reinstated",$M48="Declined",$M48="Withdrawn"),$N48=""),"Check decision date",IF(AND($M48="Reinstated",$O48=""),"Check effective date",IF(AND($M48="Reinstated",$S48&gt;0),"Check balance",IF(AND(OR($M48="Not Submitted",$M48="Submitted"),$H48&lt;&gt;"",AND($K48&lt;&gt;"Complete",$K48&lt;&gt;"Not Required"),$H48&lt;TODAY()),"Check overdue requirements",IF(AND(OR($M48="Not Submitted",$M48="Submitted"),$H48&lt;&gt;"",AND($K48&lt;&gt;"Complete",$K48&lt;&gt;"Not Required"),$H48&gt;=TODAY(),$H48&lt;=TODAY()+IFERROR(VLOOKUP("Due-soon window (days)",Assumptions!$A$2:$B$7,2,FALSE),0)),"Check requirements due soon",IF(AND(OR($M48="Not Submitted",$M48="Submitted"),$P48&lt;&gt;"",$P48&lt;=TODAY()),"Check follow-up",IF(AND(OR($M48="Not Submitted",$M48="Submitted"),$G48&lt;&gt;"",TODAY()-$G48&gt;IFERROR(VLOOKUP("Open case review target (days)",Assumptions!$A$2:$B$7,2,FALSE),99999)),"Check open duration",""))))))))))</f>
        <v/>
      </c>
    </row>
    <row r="49" ht="22" customHeight="1">
      <c r="A49" s="15" t="n"/>
      <c r="B49" s="15" t="n"/>
      <c r="C49" s="15" t="n"/>
      <c r="D49" s="16" t="n"/>
      <c r="E49" s="15" t="n"/>
      <c r="F49" s="34" t="n"/>
      <c r="G49" s="34" t="n"/>
      <c r="H49" s="34" t="n"/>
      <c r="I49" s="18" t="n"/>
      <c r="J49" s="18" t="n"/>
      <c r="K49" s="16" t="n"/>
      <c r="L49" s="16" t="n"/>
      <c r="M49" s="16" t="n"/>
      <c r="N49" s="34" t="n"/>
      <c r="O49" s="34" t="n"/>
      <c r="P49" s="34" t="n"/>
      <c r="Q49" s="19" t="n"/>
      <c r="R49" s="22">
        <f>IF($G49="","",IFERROR(IF(OR($M49="Reinstated",$M49="Declined",$M49="Withdrawn"),IF($N49="","",MAX(0,$N49-$G49)),MAX(0,TODAY()-$G49)),""))</f>
        <v/>
      </c>
      <c r="S49" s="10">
        <f>IF($I49="","",IFERROR(MAX(0,$I49-IF($J49="",0,$J49)),""))</f>
        <v/>
      </c>
      <c r="T49" s="23">
        <f>IF($A49="","",IF(OR(AND($F49&lt;&gt;"",$G49&lt;&gt;"",$F49&gt;$G49),AND($N49&lt;&gt;"",$G49&lt;&gt;"",$N49&lt;$G49)),"Check date order",IF($M49="","Check outcome status",IF(AND(OR($M49="Reinstated",$M49="Declined",$M49="Withdrawn"),$N49=""),"Check decision date",IF(AND($M49="Reinstated",$O49=""),"Check effective date",IF(AND($M49="Reinstated",$S49&gt;0),"Check balance",IF(AND(OR($M49="Not Submitted",$M49="Submitted"),$H49&lt;&gt;"",AND($K49&lt;&gt;"Complete",$K49&lt;&gt;"Not Required"),$H49&lt;TODAY()),"Check overdue requirements",IF(AND(OR($M49="Not Submitted",$M49="Submitted"),$H49&lt;&gt;"",AND($K49&lt;&gt;"Complete",$K49&lt;&gt;"Not Required"),$H49&gt;=TODAY(),$H49&lt;=TODAY()+IFERROR(VLOOKUP("Due-soon window (days)",Assumptions!$A$2:$B$7,2,FALSE),0)),"Check requirements due soon",IF(AND(OR($M49="Not Submitted",$M49="Submitted"),$P49&lt;&gt;"",$P49&lt;=TODAY()),"Check follow-up",IF(AND(OR($M49="Not Submitted",$M49="Submitted"),$G49&lt;&gt;"",TODAY()-$G49&gt;IFERROR(VLOOKUP("Open case review target (days)",Assumptions!$A$2:$B$7,2,FALSE),99999)),"Check open duration",""))))))))))</f>
        <v/>
      </c>
    </row>
    <row r="50" ht="22" customHeight="1">
      <c r="A50" s="15" t="n"/>
      <c r="B50" s="15" t="n"/>
      <c r="C50" s="15" t="n"/>
      <c r="D50" s="16" t="n"/>
      <c r="E50" s="15" t="n"/>
      <c r="F50" s="34" t="n"/>
      <c r="G50" s="34" t="n"/>
      <c r="H50" s="34" t="n"/>
      <c r="I50" s="18" t="n"/>
      <c r="J50" s="18" t="n"/>
      <c r="K50" s="16" t="n"/>
      <c r="L50" s="16" t="n"/>
      <c r="M50" s="16" t="n"/>
      <c r="N50" s="34" t="n"/>
      <c r="O50" s="34" t="n"/>
      <c r="P50" s="34" t="n"/>
      <c r="Q50" s="19" t="n"/>
      <c r="R50" s="20">
        <f>IF($G50="","",IFERROR(IF(OR($M50="Reinstated",$M50="Declined",$M50="Withdrawn"),IF($N50="","",MAX(0,$N50-$G50)),MAX(0,TODAY()-$G50)),""))</f>
        <v/>
      </c>
      <c r="S50" s="6">
        <f>IF($I50="","",IFERROR(MAX(0,$I50-IF($J50="",0,$J50)),""))</f>
        <v/>
      </c>
      <c r="T50" s="21">
        <f>IF($A50="","",IF(OR(AND($F50&lt;&gt;"",$G50&lt;&gt;"",$F50&gt;$G50),AND($N50&lt;&gt;"",$G50&lt;&gt;"",$N50&lt;$G50)),"Check date order",IF($M50="","Check outcome status",IF(AND(OR($M50="Reinstated",$M50="Declined",$M50="Withdrawn"),$N50=""),"Check decision date",IF(AND($M50="Reinstated",$O50=""),"Check effective date",IF(AND($M50="Reinstated",$S50&gt;0),"Check balance",IF(AND(OR($M50="Not Submitted",$M50="Submitted"),$H50&lt;&gt;"",AND($K50&lt;&gt;"Complete",$K50&lt;&gt;"Not Required"),$H50&lt;TODAY()),"Check overdue requirements",IF(AND(OR($M50="Not Submitted",$M50="Submitted"),$H50&lt;&gt;"",AND($K50&lt;&gt;"Complete",$K50&lt;&gt;"Not Required"),$H50&gt;=TODAY(),$H50&lt;=TODAY()+IFERROR(VLOOKUP("Due-soon window (days)",Assumptions!$A$2:$B$7,2,FALSE),0)),"Check requirements due soon",IF(AND(OR($M50="Not Submitted",$M50="Submitted"),$P50&lt;&gt;"",$P50&lt;=TODAY()),"Check follow-up",IF(AND(OR($M50="Not Submitted",$M50="Submitted"),$G50&lt;&gt;"",TODAY()-$G50&gt;IFERROR(VLOOKUP("Open case review target (days)",Assumptions!$A$2:$B$7,2,FALSE),99999)),"Check open duration",""))))))))))</f>
        <v/>
      </c>
    </row>
    <row r="51" ht="22" customHeight="1">
      <c r="A51" s="15" t="n"/>
      <c r="B51" s="15" t="n"/>
      <c r="C51" s="15" t="n"/>
      <c r="D51" s="16" t="n"/>
      <c r="E51" s="15" t="n"/>
      <c r="F51" s="34" t="n"/>
      <c r="G51" s="34" t="n"/>
      <c r="H51" s="34" t="n"/>
      <c r="I51" s="18" t="n"/>
      <c r="J51" s="18" t="n"/>
      <c r="K51" s="16" t="n"/>
      <c r="L51" s="16" t="n"/>
      <c r="M51" s="16" t="n"/>
      <c r="N51" s="34" t="n"/>
      <c r="O51" s="34" t="n"/>
      <c r="P51" s="34" t="n"/>
      <c r="Q51" s="19" t="n"/>
      <c r="R51" s="22">
        <f>IF($G51="","",IFERROR(IF(OR($M51="Reinstated",$M51="Declined",$M51="Withdrawn"),IF($N51="","",MAX(0,$N51-$G51)),MAX(0,TODAY()-$G51)),""))</f>
        <v/>
      </c>
      <c r="S51" s="10">
        <f>IF($I51="","",IFERROR(MAX(0,$I51-IF($J51="",0,$J51)),""))</f>
        <v/>
      </c>
      <c r="T51" s="23">
        <f>IF($A51="","",IF(OR(AND($F51&lt;&gt;"",$G51&lt;&gt;"",$F51&gt;$G51),AND($N51&lt;&gt;"",$G51&lt;&gt;"",$N51&lt;$G51)),"Check date order",IF($M51="","Check outcome status",IF(AND(OR($M51="Reinstated",$M51="Declined",$M51="Withdrawn"),$N51=""),"Check decision date",IF(AND($M51="Reinstated",$O51=""),"Check effective date",IF(AND($M51="Reinstated",$S51&gt;0),"Check balance",IF(AND(OR($M51="Not Submitted",$M51="Submitted"),$H51&lt;&gt;"",AND($K51&lt;&gt;"Complete",$K51&lt;&gt;"Not Required"),$H51&lt;TODAY()),"Check overdue requirements",IF(AND(OR($M51="Not Submitted",$M51="Submitted"),$H51&lt;&gt;"",AND($K51&lt;&gt;"Complete",$K51&lt;&gt;"Not Required"),$H51&gt;=TODAY(),$H51&lt;=TODAY()+IFERROR(VLOOKUP("Due-soon window (days)",Assumptions!$A$2:$B$7,2,FALSE),0)),"Check requirements due soon",IF(AND(OR($M51="Not Submitted",$M51="Submitted"),$P51&lt;&gt;"",$P51&lt;=TODAY()),"Check follow-up",IF(AND(OR($M51="Not Submitted",$M51="Submitted"),$G51&lt;&gt;"",TODAY()-$G51&gt;IFERROR(VLOOKUP("Open case review target (days)",Assumptions!$A$2:$B$7,2,FALSE),99999)),"Check open duration",""))))))))))</f>
        <v/>
      </c>
    </row>
    <row r="52" ht="22" customHeight="1">
      <c r="A52" s="15" t="n"/>
      <c r="B52" s="15" t="n"/>
      <c r="C52" s="15" t="n"/>
      <c r="D52" s="16" t="n"/>
      <c r="E52" s="15" t="n"/>
      <c r="F52" s="34" t="n"/>
      <c r="G52" s="34" t="n"/>
      <c r="H52" s="34" t="n"/>
      <c r="I52" s="18" t="n"/>
      <c r="J52" s="18" t="n"/>
      <c r="K52" s="16" t="n"/>
      <c r="L52" s="16" t="n"/>
      <c r="M52" s="16" t="n"/>
      <c r="N52" s="34" t="n"/>
      <c r="O52" s="34" t="n"/>
      <c r="P52" s="34" t="n"/>
      <c r="Q52" s="19" t="n"/>
      <c r="R52" s="20">
        <f>IF($G52="","",IFERROR(IF(OR($M52="Reinstated",$M52="Declined",$M52="Withdrawn"),IF($N52="","",MAX(0,$N52-$G52)),MAX(0,TODAY()-$G52)),""))</f>
        <v/>
      </c>
      <c r="S52" s="6">
        <f>IF($I52="","",IFERROR(MAX(0,$I52-IF($J52="",0,$J52)),""))</f>
        <v/>
      </c>
      <c r="T52" s="21">
        <f>IF($A52="","",IF(OR(AND($F52&lt;&gt;"",$G52&lt;&gt;"",$F52&gt;$G52),AND($N52&lt;&gt;"",$G52&lt;&gt;"",$N52&lt;$G52)),"Check date order",IF($M52="","Check outcome status",IF(AND(OR($M52="Reinstated",$M52="Declined",$M52="Withdrawn"),$N52=""),"Check decision date",IF(AND($M52="Reinstated",$O52=""),"Check effective date",IF(AND($M52="Reinstated",$S52&gt;0),"Check balance",IF(AND(OR($M52="Not Submitted",$M52="Submitted"),$H52&lt;&gt;"",AND($K52&lt;&gt;"Complete",$K52&lt;&gt;"Not Required"),$H52&lt;TODAY()),"Check overdue requirements",IF(AND(OR($M52="Not Submitted",$M52="Submitted"),$H52&lt;&gt;"",AND($K52&lt;&gt;"Complete",$K52&lt;&gt;"Not Required"),$H52&gt;=TODAY(),$H52&lt;=TODAY()+IFERROR(VLOOKUP("Due-soon window (days)",Assumptions!$A$2:$B$7,2,FALSE),0)),"Check requirements due soon",IF(AND(OR($M52="Not Submitted",$M52="Submitted"),$P52&lt;&gt;"",$P52&lt;=TODAY()),"Check follow-up",IF(AND(OR($M52="Not Submitted",$M52="Submitted"),$G52&lt;&gt;"",TODAY()-$G52&gt;IFERROR(VLOOKUP("Open case review target (days)",Assumptions!$A$2:$B$7,2,FALSE),99999)),"Check open duration",""))))))))))</f>
        <v/>
      </c>
    </row>
    <row r="53" ht="22" customHeight="1">
      <c r="A53" s="15" t="n"/>
      <c r="B53" s="15" t="n"/>
      <c r="C53" s="15" t="n"/>
      <c r="D53" s="16" t="n"/>
      <c r="E53" s="15" t="n"/>
      <c r="F53" s="34" t="n"/>
      <c r="G53" s="34" t="n"/>
      <c r="H53" s="34" t="n"/>
      <c r="I53" s="18" t="n"/>
      <c r="J53" s="18" t="n"/>
      <c r="K53" s="16" t="n"/>
      <c r="L53" s="16" t="n"/>
      <c r="M53" s="16" t="n"/>
      <c r="N53" s="34" t="n"/>
      <c r="O53" s="34" t="n"/>
      <c r="P53" s="34" t="n"/>
      <c r="Q53" s="19" t="n"/>
      <c r="R53" s="22">
        <f>IF($G53="","",IFERROR(IF(OR($M53="Reinstated",$M53="Declined",$M53="Withdrawn"),IF($N53="","",MAX(0,$N53-$G53)),MAX(0,TODAY()-$G53)),""))</f>
        <v/>
      </c>
      <c r="S53" s="10">
        <f>IF($I53="","",IFERROR(MAX(0,$I53-IF($J53="",0,$J53)),""))</f>
        <v/>
      </c>
      <c r="T53" s="23">
        <f>IF($A53="","",IF(OR(AND($F53&lt;&gt;"",$G53&lt;&gt;"",$F53&gt;$G53),AND($N53&lt;&gt;"",$G53&lt;&gt;"",$N53&lt;$G53)),"Check date order",IF($M53="","Check outcome status",IF(AND(OR($M53="Reinstated",$M53="Declined",$M53="Withdrawn"),$N53=""),"Check decision date",IF(AND($M53="Reinstated",$O53=""),"Check effective date",IF(AND($M53="Reinstated",$S53&gt;0),"Check balance",IF(AND(OR($M53="Not Submitted",$M53="Submitted"),$H53&lt;&gt;"",AND($K53&lt;&gt;"Complete",$K53&lt;&gt;"Not Required"),$H53&lt;TODAY()),"Check overdue requirements",IF(AND(OR($M53="Not Submitted",$M53="Submitted"),$H53&lt;&gt;"",AND($K53&lt;&gt;"Complete",$K53&lt;&gt;"Not Required"),$H53&gt;=TODAY(),$H53&lt;=TODAY()+IFERROR(VLOOKUP("Due-soon window (days)",Assumptions!$A$2:$B$7,2,FALSE),0)),"Check requirements due soon",IF(AND(OR($M53="Not Submitted",$M53="Submitted"),$P53&lt;&gt;"",$P53&lt;=TODAY()),"Check follow-up",IF(AND(OR($M53="Not Submitted",$M53="Submitted"),$G53&lt;&gt;"",TODAY()-$G53&gt;IFERROR(VLOOKUP("Open case review target (days)",Assumptions!$A$2:$B$7,2,FALSE),99999)),"Check open duration",""))))))))))</f>
        <v/>
      </c>
    </row>
    <row r="54" ht="22" customHeight="1">
      <c r="A54" s="15" t="n"/>
      <c r="B54" s="15" t="n"/>
      <c r="C54" s="15" t="n"/>
      <c r="D54" s="16" t="n"/>
      <c r="E54" s="15" t="n"/>
      <c r="F54" s="34" t="n"/>
      <c r="G54" s="34" t="n"/>
      <c r="H54" s="34" t="n"/>
      <c r="I54" s="18" t="n"/>
      <c r="J54" s="18" t="n"/>
      <c r="K54" s="16" t="n"/>
      <c r="L54" s="16" t="n"/>
      <c r="M54" s="16" t="n"/>
      <c r="N54" s="34" t="n"/>
      <c r="O54" s="34" t="n"/>
      <c r="P54" s="34" t="n"/>
      <c r="Q54" s="19" t="n"/>
      <c r="R54" s="20">
        <f>IF($G54="","",IFERROR(IF(OR($M54="Reinstated",$M54="Declined",$M54="Withdrawn"),IF($N54="","",MAX(0,$N54-$G54)),MAX(0,TODAY()-$G54)),""))</f>
        <v/>
      </c>
      <c r="S54" s="6">
        <f>IF($I54="","",IFERROR(MAX(0,$I54-IF($J54="",0,$J54)),""))</f>
        <v/>
      </c>
      <c r="T54" s="21">
        <f>IF($A54="","",IF(OR(AND($F54&lt;&gt;"",$G54&lt;&gt;"",$F54&gt;$G54),AND($N54&lt;&gt;"",$G54&lt;&gt;"",$N54&lt;$G54)),"Check date order",IF($M54="","Check outcome status",IF(AND(OR($M54="Reinstated",$M54="Declined",$M54="Withdrawn"),$N54=""),"Check decision date",IF(AND($M54="Reinstated",$O54=""),"Check effective date",IF(AND($M54="Reinstated",$S54&gt;0),"Check balance",IF(AND(OR($M54="Not Submitted",$M54="Submitted"),$H54&lt;&gt;"",AND($K54&lt;&gt;"Complete",$K54&lt;&gt;"Not Required"),$H54&lt;TODAY()),"Check overdue requirements",IF(AND(OR($M54="Not Submitted",$M54="Submitted"),$H54&lt;&gt;"",AND($K54&lt;&gt;"Complete",$K54&lt;&gt;"Not Required"),$H54&gt;=TODAY(),$H54&lt;=TODAY()+IFERROR(VLOOKUP("Due-soon window (days)",Assumptions!$A$2:$B$7,2,FALSE),0)),"Check requirements due soon",IF(AND(OR($M54="Not Submitted",$M54="Submitted"),$P54&lt;&gt;"",$P54&lt;=TODAY()),"Check follow-up",IF(AND(OR($M54="Not Submitted",$M54="Submitted"),$G54&lt;&gt;"",TODAY()-$G54&gt;IFERROR(VLOOKUP("Open case review target (days)",Assumptions!$A$2:$B$7,2,FALSE),99999)),"Check open duration",""))))))))))</f>
        <v/>
      </c>
    </row>
    <row r="55" ht="22" customHeight="1">
      <c r="A55" s="15" t="n"/>
      <c r="B55" s="15" t="n"/>
      <c r="C55" s="15" t="n"/>
      <c r="D55" s="16" t="n"/>
      <c r="E55" s="15" t="n"/>
      <c r="F55" s="34" t="n"/>
      <c r="G55" s="34" t="n"/>
      <c r="H55" s="34" t="n"/>
      <c r="I55" s="18" t="n"/>
      <c r="J55" s="18" t="n"/>
      <c r="K55" s="16" t="n"/>
      <c r="L55" s="16" t="n"/>
      <c r="M55" s="16" t="n"/>
      <c r="N55" s="34" t="n"/>
      <c r="O55" s="34" t="n"/>
      <c r="P55" s="34" t="n"/>
      <c r="Q55" s="19" t="n"/>
      <c r="R55" s="22">
        <f>IF($G55="","",IFERROR(IF(OR($M55="Reinstated",$M55="Declined",$M55="Withdrawn"),IF($N55="","",MAX(0,$N55-$G55)),MAX(0,TODAY()-$G55)),""))</f>
        <v/>
      </c>
      <c r="S55" s="10">
        <f>IF($I55="","",IFERROR(MAX(0,$I55-IF($J55="",0,$J55)),""))</f>
        <v/>
      </c>
      <c r="T55" s="23">
        <f>IF($A55="","",IF(OR(AND($F55&lt;&gt;"",$G55&lt;&gt;"",$F55&gt;$G55),AND($N55&lt;&gt;"",$G55&lt;&gt;"",$N55&lt;$G55)),"Check date order",IF($M55="","Check outcome status",IF(AND(OR($M55="Reinstated",$M55="Declined",$M55="Withdrawn"),$N55=""),"Check decision date",IF(AND($M55="Reinstated",$O55=""),"Check effective date",IF(AND($M55="Reinstated",$S55&gt;0),"Check balance",IF(AND(OR($M55="Not Submitted",$M55="Submitted"),$H55&lt;&gt;"",AND($K55&lt;&gt;"Complete",$K55&lt;&gt;"Not Required"),$H55&lt;TODAY()),"Check overdue requirements",IF(AND(OR($M55="Not Submitted",$M55="Submitted"),$H55&lt;&gt;"",AND($K55&lt;&gt;"Complete",$K55&lt;&gt;"Not Required"),$H55&gt;=TODAY(),$H55&lt;=TODAY()+IFERROR(VLOOKUP("Due-soon window (days)",Assumptions!$A$2:$B$7,2,FALSE),0)),"Check requirements due soon",IF(AND(OR($M55="Not Submitted",$M55="Submitted"),$P55&lt;&gt;"",$P55&lt;=TODAY()),"Check follow-up",IF(AND(OR($M55="Not Submitted",$M55="Submitted"),$G55&lt;&gt;"",TODAY()-$G55&gt;IFERROR(VLOOKUP("Open case review target (days)",Assumptions!$A$2:$B$7,2,FALSE),99999)),"Check open duration",""))))))))))</f>
        <v/>
      </c>
    </row>
    <row r="56" ht="22" customHeight="1">
      <c r="A56" s="15" t="n"/>
      <c r="B56" s="15" t="n"/>
      <c r="C56" s="15" t="n"/>
      <c r="D56" s="16" t="n"/>
      <c r="E56" s="15" t="n"/>
      <c r="F56" s="34" t="n"/>
      <c r="G56" s="34" t="n"/>
      <c r="H56" s="34" t="n"/>
      <c r="I56" s="18" t="n"/>
      <c r="J56" s="18" t="n"/>
      <c r="K56" s="16" t="n"/>
      <c r="L56" s="16" t="n"/>
      <c r="M56" s="16" t="n"/>
      <c r="N56" s="34" t="n"/>
      <c r="O56" s="34" t="n"/>
      <c r="P56" s="34" t="n"/>
      <c r="Q56" s="19" t="n"/>
      <c r="R56" s="20">
        <f>IF($G56="","",IFERROR(IF(OR($M56="Reinstated",$M56="Declined",$M56="Withdrawn"),IF($N56="","",MAX(0,$N56-$G56)),MAX(0,TODAY()-$G56)),""))</f>
        <v/>
      </c>
      <c r="S56" s="6">
        <f>IF($I56="","",IFERROR(MAX(0,$I56-IF($J56="",0,$J56)),""))</f>
        <v/>
      </c>
      <c r="T56" s="21">
        <f>IF($A56="","",IF(OR(AND($F56&lt;&gt;"",$G56&lt;&gt;"",$F56&gt;$G56),AND($N56&lt;&gt;"",$G56&lt;&gt;"",$N56&lt;$G56)),"Check date order",IF($M56="","Check outcome status",IF(AND(OR($M56="Reinstated",$M56="Declined",$M56="Withdrawn"),$N56=""),"Check decision date",IF(AND($M56="Reinstated",$O56=""),"Check effective date",IF(AND($M56="Reinstated",$S56&gt;0),"Check balance",IF(AND(OR($M56="Not Submitted",$M56="Submitted"),$H56&lt;&gt;"",AND($K56&lt;&gt;"Complete",$K56&lt;&gt;"Not Required"),$H56&lt;TODAY()),"Check overdue requirements",IF(AND(OR($M56="Not Submitted",$M56="Submitted"),$H56&lt;&gt;"",AND($K56&lt;&gt;"Complete",$K56&lt;&gt;"Not Required"),$H56&gt;=TODAY(),$H56&lt;=TODAY()+IFERROR(VLOOKUP("Due-soon window (days)",Assumptions!$A$2:$B$7,2,FALSE),0)),"Check requirements due soon",IF(AND(OR($M56="Not Submitted",$M56="Submitted"),$P56&lt;&gt;"",$P56&lt;=TODAY()),"Check follow-up",IF(AND(OR($M56="Not Submitted",$M56="Submitted"),$G56&lt;&gt;"",TODAY()-$G56&gt;IFERROR(VLOOKUP("Open case review target (days)",Assumptions!$A$2:$B$7,2,FALSE),99999)),"Check open duration",""))))))))))</f>
        <v/>
      </c>
    </row>
    <row r="57" ht="22" customHeight="1">
      <c r="A57" s="15" t="n"/>
      <c r="B57" s="15" t="n"/>
      <c r="C57" s="15" t="n"/>
      <c r="D57" s="16" t="n"/>
      <c r="E57" s="15" t="n"/>
      <c r="F57" s="34" t="n"/>
      <c r="G57" s="34" t="n"/>
      <c r="H57" s="34" t="n"/>
      <c r="I57" s="18" t="n"/>
      <c r="J57" s="18" t="n"/>
      <c r="K57" s="16" t="n"/>
      <c r="L57" s="16" t="n"/>
      <c r="M57" s="16" t="n"/>
      <c r="N57" s="34" t="n"/>
      <c r="O57" s="34" t="n"/>
      <c r="P57" s="34" t="n"/>
      <c r="Q57" s="19" t="n"/>
      <c r="R57" s="22">
        <f>IF($G57="","",IFERROR(IF(OR($M57="Reinstated",$M57="Declined",$M57="Withdrawn"),IF($N57="","",MAX(0,$N57-$G57)),MAX(0,TODAY()-$G57)),""))</f>
        <v/>
      </c>
      <c r="S57" s="10">
        <f>IF($I57="","",IFERROR(MAX(0,$I57-IF($J57="",0,$J57)),""))</f>
        <v/>
      </c>
      <c r="T57" s="23">
        <f>IF($A57="","",IF(OR(AND($F57&lt;&gt;"",$G57&lt;&gt;"",$F57&gt;$G57),AND($N57&lt;&gt;"",$G57&lt;&gt;"",$N57&lt;$G57)),"Check date order",IF($M57="","Check outcome status",IF(AND(OR($M57="Reinstated",$M57="Declined",$M57="Withdrawn"),$N57=""),"Check decision date",IF(AND($M57="Reinstated",$O57=""),"Check effective date",IF(AND($M57="Reinstated",$S57&gt;0),"Check balance",IF(AND(OR($M57="Not Submitted",$M57="Submitted"),$H57&lt;&gt;"",AND($K57&lt;&gt;"Complete",$K57&lt;&gt;"Not Required"),$H57&lt;TODAY()),"Check overdue requirements",IF(AND(OR($M57="Not Submitted",$M57="Submitted"),$H57&lt;&gt;"",AND($K57&lt;&gt;"Complete",$K57&lt;&gt;"Not Required"),$H57&gt;=TODAY(),$H57&lt;=TODAY()+IFERROR(VLOOKUP("Due-soon window (days)",Assumptions!$A$2:$B$7,2,FALSE),0)),"Check requirements due soon",IF(AND(OR($M57="Not Submitted",$M57="Submitted"),$P57&lt;&gt;"",$P57&lt;=TODAY()),"Check follow-up",IF(AND(OR($M57="Not Submitted",$M57="Submitted"),$G57&lt;&gt;"",TODAY()-$G57&gt;IFERROR(VLOOKUP("Open case review target (days)",Assumptions!$A$2:$B$7,2,FALSE),99999)),"Check open duration",""))))))))))</f>
        <v/>
      </c>
    </row>
    <row r="58" ht="22" customHeight="1">
      <c r="A58" s="15" t="n"/>
      <c r="B58" s="15" t="n"/>
      <c r="C58" s="15" t="n"/>
      <c r="D58" s="16" t="n"/>
      <c r="E58" s="15" t="n"/>
      <c r="F58" s="34" t="n"/>
      <c r="G58" s="34" t="n"/>
      <c r="H58" s="34" t="n"/>
      <c r="I58" s="18" t="n"/>
      <c r="J58" s="18" t="n"/>
      <c r="K58" s="16" t="n"/>
      <c r="L58" s="16" t="n"/>
      <c r="M58" s="16" t="n"/>
      <c r="N58" s="34" t="n"/>
      <c r="O58" s="34" t="n"/>
      <c r="P58" s="34" t="n"/>
      <c r="Q58" s="19" t="n"/>
      <c r="R58" s="20">
        <f>IF($G58="","",IFERROR(IF(OR($M58="Reinstated",$M58="Declined",$M58="Withdrawn"),IF($N58="","",MAX(0,$N58-$G58)),MAX(0,TODAY()-$G58)),""))</f>
        <v/>
      </c>
      <c r="S58" s="6">
        <f>IF($I58="","",IFERROR(MAX(0,$I58-IF($J58="",0,$J58)),""))</f>
        <v/>
      </c>
      <c r="T58" s="21">
        <f>IF($A58="","",IF(OR(AND($F58&lt;&gt;"",$G58&lt;&gt;"",$F58&gt;$G58),AND($N58&lt;&gt;"",$G58&lt;&gt;"",$N58&lt;$G58)),"Check date order",IF($M58="","Check outcome status",IF(AND(OR($M58="Reinstated",$M58="Declined",$M58="Withdrawn"),$N58=""),"Check decision date",IF(AND($M58="Reinstated",$O58=""),"Check effective date",IF(AND($M58="Reinstated",$S58&gt;0),"Check balance",IF(AND(OR($M58="Not Submitted",$M58="Submitted"),$H58&lt;&gt;"",AND($K58&lt;&gt;"Complete",$K58&lt;&gt;"Not Required"),$H58&lt;TODAY()),"Check overdue requirements",IF(AND(OR($M58="Not Submitted",$M58="Submitted"),$H58&lt;&gt;"",AND($K58&lt;&gt;"Complete",$K58&lt;&gt;"Not Required"),$H58&gt;=TODAY(),$H58&lt;=TODAY()+IFERROR(VLOOKUP("Due-soon window (days)",Assumptions!$A$2:$B$7,2,FALSE),0)),"Check requirements due soon",IF(AND(OR($M58="Not Submitted",$M58="Submitted"),$P58&lt;&gt;"",$P58&lt;=TODAY()),"Check follow-up",IF(AND(OR($M58="Not Submitted",$M58="Submitted"),$G58&lt;&gt;"",TODAY()-$G58&gt;IFERROR(VLOOKUP("Open case review target (days)",Assumptions!$A$2:$B$7,2,FALSE),99999)),"Check open duration",""))))))))))</f>
        <v/>
      </c>
    </row>
    <row r="59" ht="22" customHeight="1">
      <c r="A59" s="15" t="n"/>
      <c r="B59" s="15" t="n"/>
      <c r="C59" s="15" t="n"/>
      <c r="D59" s="16" t="n"/>
      <c r="E59" s="15" t="n"/>
      <c r="F59" s="34" t="n"/>
      <c r="G59" s="34" t="n"/>
      <c r="H59" s="34" t="n"/>
      <c r="I59" s="18" t="n"/>
      <c r="J59" s="18" t="n"/>
      <c r="K59" s="16" t="n"/>
      <c r="L59" s="16" t="n"/>
      <c r="M59" s="16" t="n"/>
      <c r="N59" s="34" t="n"/>
      <c r="O59" s="34" t="n"/>
      <c r="P59" s="34" t="n"/>
      <c r="Q59" s="19" t="n"/>
      <c r="R59" s="22">
        <f>IF($G59="","",IFERROR(IF(OR($M59="Reinstated",$M59="Declined",$M59="Withdrawn"),IF($N59="","",MAX(0,$N59-$G59)),MAX(0,TODAY()-$G59)),""))</f>
        <v/>
      </c>
      <c r="S59" s="10">
        <f>IF($I59="","",IFERROR(MAX(0,$I59-IF($J59="",0,$J59)),""))</f>
        <v/>
      </c>
      <c r="T59" s="23">
        <f>IF($A59="","",IF(OR(AND($F59&lt;&gt;"",$G59&lt;&gt;"",$F59&gt;$G59),AND($N59&lt;&gt;"",$G59&lt;&gt;"",$N59&lt;$G59)),"Check date order",IF($M59="","Check outcome status",IF(AND(OR($M59="Reinstated",$M59="Declined",$M59="Withdrawn"),$N59=""),"Check decision date",IF(AND($M59="Reinstated",$O59=""),"Check effective date",IF(AND($M59="Reinstated",$S59&gt;0),"Check balance",IF(AND(OR($M59="Not Submitted",$M59="Submitted"),$H59&lt;&gt;"",AND($K59&lt;&gt;"Complete",$K59&lt;&gt;"Not Required"),$H59&lt;TODAY()),"Check overdue requirements",IF(AND(OR($M59="Not Submitted",$M59="Submitted"),$H59&lt;&gt;"",AND($K59&lt;&gt;"Complete",$K59&lt;&gt;"Not Required"),$H59&gt;=TODAY(),$H59&lt;=TODAY()+IFERROR(VLOOKUP("Due-soon window (days)",Assumptions!$A$2:$B$7,2,FALSE),0)),"Check requirements due soon",IF(AND(OR($M59="Not Submitted",$M59="Submitted"),$P59&lt;&gt;"",$P59&lt;=TODAY()),"Check follow-up",IF(AND(OR($M59="Not Submitted",$M59="Submitted"),$G59&lt;&gt;"",TODAY()-$G59&gt;IFERROR(VLOOKUP("Open case review target (days)",Assumptions!$A$2:$B$7,2,FALSE),99999)),"Check open duration",""))))))))))</f>
        <v/>
      </c>
    </row>
    <row r="60" ht="22" customHeight="1">
      <c r="A60" s="15" t="n"/>
      <c r="B60" s="15" t="n"/>
      <c r="C60" s="15" t="n"/>
      <c r="D60" s="16" t="n"/>
      <c r="E60" s="15" t="n"/>
      <c r="F60" s="34" t="n"/>
      <c r="G60" s="34" t="n"/>
      <c r="H60" s="34" t="n"/>
      <c r="I60" s="18" t="n"/>
      <c r="J60" s="18" t="n"/>
      <c r="K60" s="16" t="n"/>
      <c r="L60" s="16" t="n"/>
      <c r="M60" s="16" t="n"/>
      <c r="N60" s="34" t="n"/>
      <c r="O60" s="34" t="n"/>
      <c r="P60" s="34" t="n"/>
      <c r="Q60" s="19" t="n"/>
      <c r="R60" s="20">
        <f>IF($G60="","",IFERROR(IF(OR($M60="Reinstated",$M60="Declined",$M60="Withdrawn"),IF($N60="","",MAX(0,$N60-$G60)),MAX(0,TODAY()-$G60)),""))</f>
        <v/>
      </c>
      <c r="S60" s="6">
        <f>IF($I60="","",IFERROR(MAX(0,$I60-IF($J60="",0,$J60)),""))</f>
        <v/>
      </c>
      <c r="T60" s="21">
        <f>IF($A60="","",IF(OR(AND($F60&lt;&gt;"",$G60&lt;&gt;"",$F60&gt;$G60),AND($N60&lt;&gt;"",$G60&lt;&gt;"",$N60&lt;$G60)),"Check date order",IF($M60="","Check outcome status",IF(AND(OR($M60="Reinstated",$M60="Declined",$M60="Withdrawn"),$N60=""),"Check decision date",IF(AND($M60="Reinstated",$O60=""),"Check effective date",IF(AND($M60="Reinstated",$S60&gt;0),"Check balance",IF(AND(OR($M60="Not Submitted",$M60="Submitted"),$H60&lt;&gt;"",AND($K60&lt;&gt;"Complete",$K60&lt;&gt;"Not Required"),$H60&lt;TODAY()),"Check overdue requirements",IF(AND(OR($M60="Not Submitted",$M60="Submitted"),$H60&lt;&gt;"",AND($K60&lt;&gt;"Complete",$K60&lt;&gt;"Not Required"),$H60&gt;=TODAY(),$H60&lt;=TODAY()+IFERROR(VLOOKUP("Due-soon window (days)",Assumptions!$A$2:$B$7,2,FALSE),0)),"Check requirements due soon",IF(AND(OR($M60="Not Submitted",$M60="Submitted"),$P60&lt;&gt;"",$P60&lt;=TODAY()),"Check follow-up",IF(AND(OR($M60="Not Submitted",$M60="Submitted"),$G60&lt;&gt;"",TODAY()-$G60&gt;IFERROR(VLOOKUP("Open case review target (days)",Assumptions!$A$2:$B$7,2,FALSE),99999)),"Check open duration",""))))))))))</f>
        <v/>
      </c>
    </row>
    <row r="61" ht="22" customHeight="1">
      <c r="A61" s="15" t="n"/>
      <c r="B61" s="15" t="n"/>
      <c r="C61" s="15" t="n"/>
      <c r="D61" s="16" t="n"/>
      <c r="E61" s="15" t="n"/>
      <c r="F61" s="34" t="n"/>
      <c r="G61" s="34" t="n"/>
      <c r="H61" s="34" t="n"/>
      <c r="I61" s="18" t="n"/>
      <c r="J61" s="18" t="n"/>
      <c r="K61" s="16" t="n"/>
      <c r="L61" s="16" t="n"/>
      <c r="M61" s="16" t="n"/>
      <c r="N61" s="34" t="n"/>
      <c r="O61" s="34" t="n"/>
      <c r="P61" s="34" t="n"/>
      <c r="Q61" s="19" t="n"/>
      <c r="R61" s="22">
        <f>IF($G61="","",IFERROR(IF(OR($M61="Reinstated",$M61="Declined",$M61="Withdrawn"),IF($N61="","",MAX(0,$N61-$G61)),MAX(0,TODAY()-$G61)),""))</f>
        <v/>
      </c>
      <c r="S61" s="10">
        <f>IF($I61="","",IFERROR(MAX(0,$I61-IF($J61="",0,$J61)),""))</f>
        <v/>
      </c>
      <c r="T61" s="23">
        <f>IF($A61="","",IF(OR(AND($F61&lt;&gt;"",$G61&lt;&gt;"",$F61&gt;$G61),AND($N61&lt;&gt;"",$G61&lt;&gt;"",$N61&lt;$G61)),"Check date order",IF($M61="","Check outcome status",IF(AND(OR($M61="Reinstated",$M61="Declined",$M61="Withdrawn"),$N61=""),"Check decision date",IF(AND($M61="Reinstated",$O61=""),"Check effective date",IF(AND($M61="Reinstated",$S61&gt;0),"Check balance",IF(AND(OR($M61="Not Submitted",$M61="Submitted"),$H61&lt;&gt;"",AND($K61&lt;&gt;"Complete",$K61&lt;&gt;"Not Required"),$H61&lt;TODAY()),"Check overdue requirements",IF(AND(OR($M61="Not Submitted",$M61="Submitted"),$H61&lt;&gt;"",AND($K61&lt;&gt;"Complete",$K61&lt;&gt;"Not Required"),$H61&gt;=TODAY(),$H61&lt;=TODAY()+IFERROR(VLOOKUP("Due-soon window (days)",Assumptions!$A$2:$B$7,2,FALSE),0)),"Check requirements due soon",IF(AND(OR($M61="Not Submitted",$M61="Submitted"),$P61&lt;&gt;"",$P61&lt;=TODAY()),"Check follow-up",IF(AND(OR($M61="Not Submitted",$M61="Submitted"),$G61&lt;&gt;"",TODAY()-$G61&gt;IFERROR(VLOOKUP("Open case review target (days)",Assumptions!$A$2:$B$7,2,FALSE),99999)),"Check open duration",""))))))))))</f>
        <v/>
      </c>
    </row>
    <row r="62" ht="22" customHeight="1">
      <c r="A62" s="15" t="n"/>
      <c r="B62" s="15" t="n"/>
      <c r="C62" s="15" t="n"/>
      <c r="D62" s="16" t="n"/>
      <c r="E62" s="15" t="n"/>
      <c r="F62" s="34" t="n"/>
      <c r="G62" s="34" t="n"/>
      <c r="H62" s="34" t="n"/>
      <c r="I62" s="18" t="n"/>
      <c r="J62" s="18" t="n"/>
      <c r="K62" s="16" t="n"/>
      <c r="L62" s="16" t="n"/>
      <c r="M62" s="16" t="n"/>
      <c r="N62" s="34" t="n"/>
      <c r="O62" s="34" t="n"/>
      <c r="P62" s="34" t="n"/>
      <c r="Q62" s="19" t="n"/>
      <c r="R62" s="20">
        <f>IF($G62="","",IFERROR(IF(OR($M62="Reinstated",$M62="Declined",$M62="Withdrawn"),IF($N62="","",MAX(0,$N62-$G62)),MAX(0,TODAY()-$G62)),""))</f>
        <v/>
      </c>
      <c r="S62" s="6">
        <f>IF($I62="","",IFERROR(MAX(0,$I62-IF($J62="",0,$J62)),""))</f>
        <v/>
      </c>
      <c r="T62" s="21">
        <f>IF($A62="","",IF(OR(AND($F62&lt;&gt;"",$G62&lt;&gt;"",$F62&gt;$G62),AND($N62&lt;&gt;"",$G62&lt;&gt;"",$N62&lt;$G62)),"Check date order",IF($M62="","Check outcome status",IF(AND(OR($M62="Reinstated",$M62="Declined",$M62="Withdrawn"),$N62=""),"Check decision date",IF(AND($M62="Reinstated",$O62=""),"Check effective date",IF(AND($M62="Reinstated",$S62&gt;0),"Check balance",IF(AND(OR($M62="Not Submitted",$M62="Submitted"),$H62&lt;&gt;"",AND($K62&lt;&gt;"Complete",$K62&lt;&gt;"Not Required"),$H62&lt;TODAY()),"Check overdue requirements",IF(AND(OR($M62="Not Submitted",$M62="Submitted"),$H62&lt;&gt;"",AND($K62&lt;&gt;"Complete",$K62&lt;&gt;"Not Required"),$H62&gt;=TODAY(),$H62&lt;=TODAY()+IFERROR(VLOOKUP("Due-soon window (days)",Assumptions!$A$2:$B$7,2,FALSE),0)),"Check requirements due soon",IF(AND(OR($M62="Not Submitted",$M62="Submitted"),$P62&lt;&gt;"",$P62&lt;=TODAY()),"Check follow-up",IF(AND(OR($M62="Not Submitted",$M62="Submitted"),$G62&lt;&gt;"",TODAY()-$G62&gt;IFERROR(VLOOKUP("Open case review target (days)",Assumptions!$A$2:$B$7,2,FALSE),99999)),"Check open duration",""))))))))))</f>
        <v/>
      </c>
    </row>
    <row r="63" ht="22" customHeight="1">
      <c r="A63" s="15" t="n"/>
      <c r="B63" s="15" t="n"/>
      <c r="C63" s="15" t="n"/>
      <c r="D63" s="16" t="n"/>
      <c r="E63" s="15" t="n"/>
      <c r="F63" s="34" t="n"/>
      <c r="G63" s="34" t="n"/>
      <c r="H63" s="34" t="n"/>
      <c r="I63" s="18" t="n"/>
      <c r="J63" s="18" t="n"/>
      <c r="K63" s="16" t="n"/>
      <c r="L63" s="16" t="n"/>
      <c r="M63" s="16" t="n"/>
      <c r="N63" s="34" t="n"/>
      <c r="O63" s="34" t="n"/>
      <c r="P63" s="34" t="n"/>
      <c r="Q63" s="19" t="n"/>
      <c r="R63" s="22">
        <f>IF($G63="","",IFERROR(IF(OR($M63="Reinstated",$M63="Declined",$M63="Withdrawn"),IF($N63="","",MAX(0,$N63-$G63)),MAX(0,TODAY()-$G63)),""))</f>
        <v/>
      </c>
      <c r="S63" s="10">
        <f>IF($I63="","",IFERROR(MAX(0,$I63-IF($J63="",0,$J63)),""))</f>
        <v/>
      </c>
      <c r="T63" s="23">
        <f>IF($A63="","",IF(OR(AND($F63&lt;&gt;"",$G63&lt;&gt;"",$F63&gt;$G63),AND($N63&lt;&gt;"",$G63&lt;&gt;"",$N63&lt;$G63)),"Check date order",IF($M63="","Check outcome status",IF(AND(OR($M63="Reinstated",$M63="Declined",$M63="Withdrawn"),$N63=""),"Check decision date",IF(AND($M63="Reinstated",$O63=""),"Check effective date",IF(AND($M63="Reinstated",$S63&gt;0),"Check balance",IF(AND(OR($M63="Not Submitted",$M63="Submitted"),$H63&lt;&gt;"",AND($K63&lt;&gt;"Complete",$K63&lt;&gt;"Not Required"),$H63&lt;TODAY()),"Check overdue requirements",IF(AND(OR($M63="Not Submitted",$M63="Submitted"),$H63&lt;&gt;"",AND($K63&lt;&gt;"Complete",$K63&lt;&gt;"Not Required"),$H63&gt;=TODAY(),$H63&lt;=TODAY()+IFERROR(VLOOKUP("Due-soon window (days)",Assumptions!$A$2:$B$7,2,FALSE),0)),"Check requirements due soon",IF(AND(OR($M63="Not Submitted",$M63="Submitted"),$P63&lt;&gt;"",$P63&lt;=TODAY()),"Check follow-up",IF(AND(OR($M63="Not Submitted",$M63="Submitted"),$G63&lt;&gt;"",TODAY()-$G63&gt;IFERROR(VLOOKUP("Open case review target (days)",Assumptions!$A$2:$B$7,2,FALSE),99999)),"Check open duration",""))))))))))</f>
        <v/>
      </c>
    </row>
    <row r="64" ht="22" customHeight="1">
      <c r="A64" s="15" t="n"/>
      <c r="B64" s="15" t="n"/>
      <c r="C64" s="15" t="n"/>
      <c r="D64" s="16" t="n"/>
      <c r="E64" s="15" t="n"/>
      <c r="F64" s="34" t="n"/>
      <c r="G64" s="34" t="n"/>
      <c r="H64" s="34" t="n"/>
      <c r="I64" s="18" t="n"/>
      <c r="J64" s="18" t="n"/>
      <c r="K64" s="16" t="n"/>
      <c r="L64" s="16" t="n"/>
      <c r="M64" s="16" t="n"/>
      <c r="N64" s="34" t="n"/>
      <c r="O64" s="34" t="n"/>
      <c r="P64" s="34" t="n"/>
      <c r="Q64" s="19" t="n"/>
      <c r="R64" s="20">
        <f>IF($G64="","",IFERROR(IF(OR($M64="Reinstated",$M64="Declined",$M64="Withdrawn"),IF($N64="","",MAX(0,$N64-$G64)),MAX(0,TODAY()-$G64)),""))</f>
        <v/>
      </c>
      <c r="S64" s="6">
        <f>IF($I64="","",IFERROR(MAX(0,$I64-IF($J64="",0,$J64)),""))</f>
        <v/>
      </c>
      <c r="T64" s="21">
        <f>IF($A64="","",IF(OR(AND($F64&lt;&gt;"",$G64&lt;&gt;"",$F64&gt;$G64),AND($N64&lt;&gt;"",$G64&lt;&gt;"",$N64&lt;$G64)),"Check date order",IF($M64="","Check outcome status",IF(AND(OR($M64="Reinstated",$M64="Declined",$M64="Withdrawn"),$N64=""),"Check decision date",IF(AND($M64="Reinstated",$O64=""),"Check effective date",IF(AND($M64="Reinstated",$S64&gt;0),"Check balance",IF(AND(OR($M64="Not Submitted",$M64="Submitted"),$H64&lt;&gt;"",AND($K64&lt;&gt;"Complete",$K64&lt;&gt;"Not Required"),$H64&lt;TODAY()),"Check overdue requirements",IF(AND(OR($M64="Not Submitted",$M64="Submitted"),$H64&lt;&gt;"",AND($K64&lt;&gt;"Complete",$K64&lt;&gt;"Not Required"),$H64&gt;=TODAY(),$H64&lt;=TODAY()+IFERROR(VLOOKUP("Due-soon window (days)",Assumptions!$A$2:$B$7,2,FALSE),0)),"Check requirements due soon",IF(AND(OR($M64="Not Submitted",$M64="Submitted"),$P64&lt;&gt;"",$P64&lt;=TODAY()),"Check follow-up",IF(AND(OR($M64="Not Submitted",$M64="Submitted"),$G64&lt;&gt;"",TODAY()-$G64&gt;IFERROR(VLOOKUP("Open case review target (days)",Assumptions!$A$2:$B$7,2,FALSE),99999)),"Check open duration",""))))))))))</f>
        <v/>
      </c>
    </row>
    <row r="65" ht="22" customHeight="1">
      <c r="A65" s="15" t="n"/>
      <c r="B65" s="15" t="n"/>
      <c r="C65" s="15" t="n"/>
      <c r="D65" s="16" t="n"/>
      <c r="E65" s="15" t="n"/>
      <c r="F65" s="34" t="n"/>
      <c r="G65" s="34" t="n"/>
      <c r="H65" s="34" t="n"/>
      <c r="I65" s="18" t="n"/>
      <c r="J65" s="18" t="n"/>
      <c r="K65" s="16" t="n"/>
      <c r="L65" s="16" t="n"/>
      <c r="M65" s="16" t="n"/>
      <c r="N65" s="34" t="n"/>
      <c r="O65" s="34" t="n"/>
      <c r="P65" s="34" t="n"/>
      <c r="Q65" s="19" t="n"/>
      <c r="R65" s="22">
        <f>IF($G65="","",IFERROR(IF(OR($M65="Reinstated",$M65="Declined",$M65="Withdrawn"),IF($N65="","",MAX(0,$N65-$G65)),MAX(0,TODAY()-$G65)),""))</f>
        <v/>
      </c>
      <c r="S65" s="10">
        <f>IF($I65="","",IFERROR(MAX(0,$I65-IF($J65="",0,$J65)),""))</f>
        <v/>
      </c>
      <c r="T65" s="23">
        <f>IF($A65="","",IF(OR(AND($F65&lt;&gt;"",$G65&lt;&gt;"",$F65&gt;$G65),AND($N65&lt;&gt;"",$G65&lt;&gt;"",$N65&lt;$G65)),"Check date order",IF($M65="","Check outcome status",IF(AND(OR($M65="Reinstated",$M65="Declined",$M65="Withdrawn"),$N65=""),"Check decision date",IF(AND($M65="Reinstated",$O65=""),"Check effective date",IF(AND($M65="Reinstated",$S65&gt;0),"Check balance",IF(AND(OR($M65="Not Submitted",$M65="Submitted"),$H65&lt;&gt;"",AND($K65&lt;&gt;"Complete",$K65&lt;&gt;"Not Required"),$H65&lt;TODAY()),"Check overdue requirements",IF(AND(OR($M65="Not Submitted",$M65="Submitted"),$H65&lt;&gt;"",AND($K65&lt;&gt;"Complete",$K65&lt;&gt;"Not Required"),$H65&gt;=TODAY(),$H65&lt;=TODAY()+IFERROR(VLOOKUP("Due-soon window (days)",Assumptions!$A$2:$B$7,2,FALSE),0)),"Check requirements due soon",IF(AND(OR($M65="Not Submitted",$M65="Submitted"),$P65&lt;&gt;"",$P65&lt;=TODAY()),"Check follow-up",IF(AND(OR($M65="Not Submitted",$M65="Submitted"),$G65&lt;&gt;"",TODAY()-$G65&gt;IFERROR(VLOOKUP("Open case review target (days)",Assumptions!$A$2:$B$7,2,FALSE),99999)),"Check open duration",""))))))))))</f>
        <v/>
      </c>
    </row>
    <row r="66" ht="22" customHeight="1">
      <c r="A66" s="15" t="n"/>
      <c r="B66" s="15" t="n"/>
      <c r="C66" s="15" t="n"/>
      <c r="D66" s="16" t="n"/>
      <c r="E66" s="15" t="n"/>
      <c r="F66" s="34" t="n"/>
      <c r="G66" s="34" t="n"/>
      <c r="H66" s="34" t="n"/>
      <c r="I66" s="18" t="n"/>
      <c r="J66" s="18" t="n"/>
      <c r="K66" s="16" t="n"/>
      <c r="L66" s="16" t="n"/>
      <c r="M66" s="16" t="n"/>
      <c r="N66" s="34" t="n"/>
      <c r="O66" s="34" t="n"/>
      <c r="P66" s="34" t="n"/>
      <c r="Q66" s="19" t="n"/>
      <c r="R66" s="20">
        <f>IF($G66="","",IFERROR(IF(OR($M66="Reinstated",$M66="Declined",$M66="Withdrawn"),IF($N66="","",MAX(0,$N66-$G66)),MAX(0,TODAY()-$G66)),""))</f>
        <v/>
      </c>
      <c r="S66" s="6">
        <f>IF($I66="","",IFERROR(MAX(0,$I66-IF($J66="",0,$J66)),""))</f>
        <v/>
      </c>
      <c r="T66" s="21">
        <f>IF($A66="","",IF(OR(AND($F66&lt;&gt;"",$G66&lt;&gt;"",$F66&gt;$G66),AND($N66&lt;&gt;"",$G66&lt;&gt;"",$N66&lt;$G66)),"Check date order",IF($M66="","Check outcome status",IF(AND(OR($M66="Reinstated",$M66="Declined",$M66="Withdrawn"),$N66=""),"Check decision date",IF(AND($M66="Reinstated",$O66=""),"Check effective date",IF(AND($M66="Reinstated",$S66&gt;0),"Check balance",IF(AND(OR($M66="Not Submitted",$M66="Submitted"),$H66&lt;&gt;"",AND($K66&lt;&gt;"Complete",$K66&lt;&gt;"Not Required"),$H66&lt;TODAY()),"Check overdue requirements",IF(AND(OR($M66="Not Submitted",$M66="Submitted"),$H66&lt;&gt;"",AND($K66&lt;&gt;"Complete",$K66&lt;&gt;"Not Required"),$H66&gt;=TODAY(),$H66&lt;=TODAY()+IFERROR(VLOOKUP("Due-soon window (days)",Assumptions!$A$2:$B$7,2,FALSE),0)),"Check requirements due soon",IF(AND(OR($M66="Not Submitted",$M66="Submitted"),$P66&lt;&gt;"",$P66&lt;=TODAY()),"Check follow-up",IF(AND(OR($M66="Not Submitted",$M66="Submitted"),$G66&lt;&gt;"",TODAY()-$G66&gt;IFERROR(VLOOKUP("Open case review target (days)",Assumptions!$A$2:$B$7,2,FALSE),99999)),"Check open duration",""))))))))))</f>
        <v/>
      </c>
    </row>
    <row r="67" ht="22" customHeight="1">
      <c r="A67" s="15" t="n"/>
      <c r="B67" s="15" t="n"/>
      <c r="C67" s="15" t="n"/>
      <c r="D67" s="16" t="n"/>
      <c r="E67" s="15" t="n"/>
      <c r="F67" s="34" t="n"/>
      <c r="G67" s="34" t="n"/>
      <c r="H67" s="34" t="n"/>
      <c r="I67" s="18" t="n"/>
      <c r="J67" s="18" t="n"/>
      <c r="K67" s="16" t="n"/>
      <c r="L67" s="16" t="n"/>
      <c r="M67" s="16" t="n"/>
      <c r="N67" s="34" t="n"/>
      <c r="O67" s="34" t="n"/>
      <c r="P67" s="34" t="n"/>
      <c r="Q67" s="19" t="n"/>
      <c r="R67" s="22">
        <f>IF($G67="","",IFERROR(IF(OR($M67="Reinstated",$M67="Declined",$M67="Withdrawn"),IF($N67="","",MAX(0,$N67-$G67)),MAX(0,TODAY()-$G67)),""))</f>
        <v/>
      </c>
      <c r="S67" s="10">
        <f>IF($I67="","",IFERROR(MAX(0,$I67-IF($J67="",0,$J67)),""))</f>
        <v/>
      </c>
      <c r="T67" s="23">
        <f>IF($A67="","",IF(OR(AND($F67&lt;&gt;"",$G67&lt;&gt;"",$F67&gt;$G67),AND($N67&lt;&gt;"",$G67&lt;&gt;"",$N67&lt;$G67)),"Check date order",IF($M67="","Check outcome status",IF(AND(OR($M67="Reinstated",$M67="Declined",$M67="Withdrawn"),$N67=""),"Check decision date",IF(AND($M67="Reinstated",$O67=""),"Check effective date",IF(AND($M67="Reinstated",$S67&gt;0),"Check balance",IF(AND(OR($M67="Not Submitted",$M67="Submitted"),$H67&lt;&gt;"",AND($K67&lt;&gt;"Complete",$K67&lt;&gt;"Not Required"),$H67&lt;TODAY()),"Check overdue requirements",IF(AND(OR($M67="Not Submitted",$M67="Submitted"),$H67&lt;&gt;"",AND($K67&lt;&gt;"Complete",$K67&lt;&gt;"Not Required"),$H67&gt;=TODAY(),$H67&lt;=TODAY()+IFERROR(VLOOKUP("Due-soon window (days)",Assumptions!$A$2:$B$7,2,FALSE),0)),"Check requirements due soon",IF(AND(OR($M67="Not Submitted",$M67="Submitted"),$P67&lt;&gt;"",$P67&lt;=TODAY()),"Check follow-up",IF(AND(OR($M67="Not Submitted",$M67="Submitted"),$G67&lt;&gt;"",TODAY()-$G67&gt;IFERROR(VLOOKUP("Open case review target (days)",Assumptions!$A$2:$B$7,2,FALSE),99999)),"Check open duration",""))))))))))</f>
        <v/>
      </c>
    </row>
    <row r="68" ht="22" customHeight="1">
      <c r="A68" s="15" t="n"/>
      <c r="B68" s="15" t="n"/>
      <c r="C68" s="15" t="n"/>
      <c r="D68" s="16" t="n"/>
      <c r="E68" s="15" t="n"/>
      <c r="F68" s="34" t="n"/>
      <c r="G68" s="34" t="n"/>
      <c r="H68" s="34" t="n"/>
      <c r="I68" s="18" t="n"/>
      <c r="J68" s="18" t="n"/>
      <c r="K68" s="16" t="n"/>
      <c r="L68" s="16" t="n"/>
      <c r="M68" s="16" t="n"/>
      <c r="N68" s="34" t="n"/>
      <c r="O68" s="34" t="n"/>
      <c r="P68" s="34" t="n"/>
      <c r="Q68" s="19" t="n"/>
      <c r="R68" s="20">
        <f>IF($G68="","",IFERROR(IF(OR($M68="Reinstated",$M68="Declined",$M68="Withdrawn"),IF($N68="","",MAX(0,$N68-$G68)),MAX(0,TODAY()-$G68)),""))</f>
        <v/>
      </c>
      <c r="S68" s="6">
        <f>IF($I68="","",IFERROR(MAX(0,$I68-IF($J68="",0,$J68)),""))</f>
        <v/>
      </c>
      <c r="T68" s="21">
        <f>IF($A68="","",IF(OR(AND($F68&lt;&gt;"",$G68&lt;&gt;"",$F68&gt;$G68),AND($N68&lt;&gt;"",$G68&lt;&gt;"",$N68&lt;$G68)),"Check date order",IF($M68="","Check outcome status",IF(AND(OR($M68="Reinstated",$M68="Declined",$M68="Withdrawn"),$N68=""),"Check decision date",IF(AND($M68="Reinstated",$O68=""),"Check effective date",IF(AND($M68="Reinstated",$S68&gt;0),"Check balance",IF(AND(OR($M68="Not Submitted",$M68="Submitted"),$H68&lt;&gt;"",AND($K68&lt;&gt;"Complete",$K68&lt;&gt;"Not Required"),$H68&lt;TODAY()),"Check overdue requirements",IF(AND(OR($M68="Not Submitted",$M68="Submitted"),$H68&lt;&gt;"",AND($K68&lt;&gt;"Complete",$K68&lt;&gt;"Not Required"),$H68&gt;=TODAY(),$H68&lt;=TODAY()+IFERROR(VLOOKUP("Due-soon window (days)",Assumptions!$A$2:$B$7,2,FALSE),0)),"Check requirements due soon",IF(AND(OR($M68="Not Submitted",$M68="Submitted"),$P68&lt;&gt;"",$P68&lt;=TODAY()),"Check follow-up",IF(AND(OR($M68="Not Submitted",$M68="Submitted"),$G68&lt;&gt;"",TODAY()-$G68&gt;IFERROR(VLOOKUP("Open case review target (days)",Assumptions!$A$2:$B$7,2,FALSE),99999)),"Check open duration",""))))))))))</f>
        <v/>
      </c>
    </row>
    <row r="69" ht="22" customHeight="1">
      <c r="A69" s="15" t="n"/>
      <c r="B69" s="15" t="n"/>
      <c r="C69" s="15" t="n"/>
      <c r="D69" s="16" t="n"/>
      <c r="E69" s="15" t="n"/>
      <c r="F69" s="34" t="n"/>
      <c r="G69" s="34" t="n"/>
      <c r="H69" s="34" t="n"/>
      <c r="I69" s="18" t="n"/>
      <c r="J69" s="18" t="n"/>
      <c r="K69" s="16" t="n"/>
      <c r="L69" s="16" t="n"/>
      <c r="M69" s="16" t="n"/>
      <c r="N69" s="34" t="n"/>
      <c r="O69" s="34" t="n"/>
      <c r="P69" s="34" t="n"/>
      <c r="Q69" s="19" t="n"/>
      <c r="R69" s="22">
        <f>IF($G69="","",IFERROR(IF(OR($M69="Reinstated",$M69="Declined",$M69="Withdrawn"),IF($N69="","",MAX(0,$N69-$G69)),MAX(0,TODAY()-$G69)),""))</f>
        <v/>
      </c>
      <c r="S69" s="10">
        <f>IF($I69="","",IFERROR(MAX(0,$I69-IF($J69="",0,$J69)),""))</f>
        <v/>
      </c>
      <c r="T69" s="23">
        <f>IF($A69="","",IF(OR(AND($F69&lt;&gt;"",$G69&lt;&gt;"",$F69&gt;$G69),AND($N69&lt;&gt;"",$G69&lt;&gt;"",$N69&lt;$G69)),"Check date order",IF($M69="","Check outcome status",IF(AND(OR($M69="Reinstated",$M69="Declined",$M69="Withdrawn"),$N69=""),"Check decision date",IF(AND($M69="Reinstated",$O69=""),"Check effective date",IF(AND($M69="Reinstated",$S69&gt;0),"Check balance",IF(AND(OR($M69="Not Submitted",$M69="Submitted"),$H69&lt;&gt;"",AND($K69&lt;&gt;"Complete",$K69&lt;&gt;"Not Required"),$H69&lt;TODAY()),"Check overdue requirements",IF(AND(OR($M69="Not Submitted",$M69="Submitted"),$H69&lt;&gt;"",AND($K69&lt;&gt;"Complete",$K69&lt;&gt;"Not Required"),$H69&gt;=TODAY(),$H69&lt;=TODAY()+IFERROR(VLOOKUP("Due-soon window (days)",Assumptions!$A$2:$B$7,2,FALSE),0)),"Check requirements due soon",IF(AND(OR($M69="Not Submitted",$M69="Submitted"),$P69&lt;&gt;"",$P69&lt;=TODAY()),"Check follow-up",IF(AND(OR($M69="Not Submitted",$M69="Submitted"),$G69&lt;&gt;"",TODAY()-$G69&gt;IFERROR(VLOOKUP("Open case review target (days)",Assumptions!$A$2:$B$7,2,FALSE),99999)),"Check open duration",""))))))))))</f>
        <v/>
      </c>
    </row>
    <row r="70" ht="22" customHeight="1">
      <c r="A70" s="15" t="n"/>
      <c r="B70" s="15" t="n"/>
      <c r="C70" s="15" t="n"/>
      <c r="D70" s="16" t="n"/>
      <c r="E70" s="15" t="n"/>
      <c r="F70" s="34" t="n"/>
      <c r="G70" s="34" t="n"/>
      <c r="H70" s="34" t="n"/>
      <c r="I70" s="18" t="n"/>
      <c r="J70" s="18" t="n"/>
      <c r="K70" s="16" t="n"/>
      <c r="L70" s="16" t="n"/>
      <c r="M70" s="16" t="n"/>
      <c r="N70" s="34" t="n"/>
      <c r="O70" s="34" t="n"/>
      <c r="P70" s="34" t="n"/>
      <c r="Q70" s="19" t="n"/>
      <c r="R70" s="20">
        <f>IF($G70="","",IFERROR(IF(OR($M70="Reinstated",$M70="Declined",$M70="Withdrawn"),IF($N70="","",MAX(0,$N70-$G70)),MAX(0,TODAY()-$G70)),""))</f>
        <v/>
      </c>
      <c r="S70" s="6">
        <f>IF($I70="","",IFERROR(MAX(0,$I70-IF($J70="",0,$J70)),""))</f>
        <v/>
      </c>
      <c r="T70" s="21">
        <f>IF($A70="","",IF(OR(AND($F70&lt;&gt;"",$G70&lt;&gt;"",$F70&gt;$G70),AND($N70&lt;&gt;"",$G70&lt;&gt;"",$N70&lt;$G70)),"Check date order",IF($M70="","Check outcome status",IF(AND(OR($M70="Reinstated",$M70="Declined",$M70="Withdrawn"),$N70=""),"Check decision date",IF(AND($M70="Reinstated",$O70=""),"Check effective date",IF(AND($M70="Reinstated",$S70&gt;0),"Check balance",IF(AND(OR($M70="Not Submitted",$M70="Submitted"),$H70&lt;&gt;"",AND($K70&lt;&gt;"Complete",$K70&lt;&gt;"Not Required"),$H70&lt;TODAY()),"Check overdue requirements",IF(AND(OR($M70="Not Submitted",$M70="Submitted"),$H70&lt;&gt;"",AND($K70&lt;&gt;"Complete",$K70&lt;&gt;"Not Required"),$H70&gt;=TODAY(),$H70&lt;=TODAY()+IFERROR(VLOOKUP("Due-soon window (days)",Assumptions!$A$2:$B$7,2,FALSE),0)),"Check requirements due soon",IF(AND(OR($M70="Not Submitted",$M70="Submitted"),$P70&lt;&gt;"",$P70&lt;=TODAY()),"Check follow-up",IF(AND(OR($M70="Not Submitted",$M70="Submitted"),$G70&lt;&gt;"",TODAY()-$G70&gt;IFERROR(VLOOKUP("Open case review target (days)",Assumptions!$A$2:$B$7,2,FALSE),99999)),"Check open duration",""))))))))))</f>
        <v/>
      </c>
    </row>
    <row r="71" ht="22" customHeight="1">
      <c r="A71" s="15" t="n"/>
      <c r="B71" s="15" t="n"/>
      <c r="C71" s="15" t="n"/>
      <c r="D71" s="16" t="n"/>
      <c r="E71" s="15" t="n"/>
      <c r="F71" s="34" t="n"/>
      <c r="G71" s="34" t="n"/>
      <c r="H71" s="34" t="n"/>
      <c r="I71" s="18" t="n"/>
      <c r="J71" s="18" t="n"/>
      <c r="K71" s="16" t="n"/>
      <c r="L71" s="16" t="n"/>
      <c r="M71" s="16" t="n"/>
      <c r="N71" s="34" t="n"/>
      <c r="O71" s="34" t="n"/>
      <c r="P71" s="34" t="n"/>
      <c r="Q71" s="19" t="n"/>
      <c r="R71" s="22">
        <f>IF($G71="","",IFERROR(IF(OR($M71="Reinstated",$M71="Declined",$M71="Withdrawn"),IF($N71="","",MAX(0,$N71-$G71)),MAX(0,TODAY()-$G71)),""))</f>
        <v/>
      </c>
      <c r="S71" s="10">
        <f>IF($I71="","",IFERROR(MAX(0,$I71-IF($J71="",0,$J71)),""))</f>
        <v/>
      </c>
      <c r="T71" s="23">
        <f>IF($A71="","",IF(OR(AND($F71&lt;&gt;"",$G71&lt;&gt;"",$F71&gt;$G71),AND($N71&lt;&gt;"",$G71&lt;&gt;"",$N71&lt;$G71)),"Check date order",IF($M71="","Check outcome status",IF(AND(OR($M71="Reinstated",$M71="Declined",$M71="Withdrawn"),$N71=""),"Check decision date",IF(AND($M71="Reinstated",$O71=""),"Check effective date",IF(AND($M71="Reinstated",$S71&gt;0),"Check balance",IF(AND(OR($M71="Not Submitted",$M71="Submitted"),$H71&lt;&gt;"",AND($K71&lt;&gt;"Complete",$K71&lt;&gt;"Not Required"),$H71&lt;TODAY()),"Check overdue requirements",IF(AND(OR($M71="Not Submitted",$M71="Submitted"),$H71&lt;&gt;"",AND($K71&lt;&gt;"Complete",$K71&lt;&gt;"Not Required"),$H71&gt;=TODAY(),$H71&lt;=TODAY()+IFERROR(VLOOKUP("Due-soon window (days)",Assumptions!$A$2:$B$7,2,FALSE),0)),"Check requirements due soon",IF(AND(OR($M71="Not Submitted",$M71="Submitted"),$P71&lt;&gt;"",$P71&lt;=TODAY()),"Check follow-up",IF(AND(OR($M71="Not Submitted",$M71="Submitted"),$G71&lt;&gt;"",TODAY()-$G71&gt;IFERROR(VLOOKUP("Open case review target (days)",Assumptions!$A$2:$B$7,2,FALSE),99999)),"Check open duration",""))))))))))</f>
        <v/>
      </c>
    </row>
    <row r="72" ht="22" customHeight="1">
      <c r="A72" s="15" t="n"/>
      <c r="B72" s="15" t="n"/>
      <c r="C72" s="15" t="n"/>
      <c r="D72" s="16" t="n"/>
      <c r="E72" s="15" t="n"/>
      <c r="F72" s="34" t="n"/>
      <c r="G72" s="34" t="n"/>
      <c r="H72" s="34" t="n"/>
      <c r="I72" s="18" t="n"/>
      <c r="J72" s="18" t="n"/>
      <c r="K72" s="16" t="n"/>
      <c r="L72" s="16" t="n"/>
      <c r="M72" s="16" t="n"/>
      <c r="N72" s="34" t="n"/>
      <c r="O72" s="34" t="n"/>
      <c r="P72" s="34" t="n"/>
      <c r="Q72" s="19" t="n"/>
      <c r="R72" s="20">
        <f>IF($G72="","",IFERROR(IF(OR($M72="Reinstated",$M72="Declined",$M72="Withdrawn"),IF($N72="","",MAX(0,$N72-$G72)),MAX(0,TODAY()-$G72)),""))</f>
        <v/>
      </c>
      <c r="S72" s="6">
        <f>IF($I72="","",IFERROR(MAX(0,$I72-IF($J72="",0,$J72)),""))</f>
        <v/>
      </c>
      <c r="T72" s="21">
        <f>IF($A72="","",IF(OR(AND($F72&lt;&gt;"",$G72&lt;&gt;"",$F72&gt;$G72),AND($N72&lt;&gt;"",$G72&lt;&gt;"",$N72&lt;$G72)),"Check date order",IF($M72="","Check outcome status",IF(AND(OR($M72="Reinstated",$M72="Declined",$M72="Withdrawn"),$N72=""),"Check decision date",IF(AND($M72="Reinstated",$O72=""),"Check effective date",IF(AND($M72="Reinstated",$S72&gt;0),"Check balance",IF(AND(OR($M72="Not Submitted",$M72="Submitted"),$H72&lt;&gt;"",AND($K72&lt;&gt;"Complete",$K72&lt;&gt;"Not Required"),$H72&lt;TODAY()),"Check overdue requirements",IF(AND(OR($M72="Not Submitted",$M72="Submitted"),$H72&lt;&gt;"",AND($K72&lt;&gt;"Complete",$K72&lt;&gt;"Not Required"),$H72&gt;=TODAY(),$H72&lt;=TODAY()+IFERROR(VLOOKUP("Due-soon window (days)",Assumptions!$A$2:$B$7,2,FALSE),0)),"Check requirements due soon",IF(AND(OR($M72="Not Submitted",$M72="Submitted"),$P72&lt;&gt;"",$P72&lt;=TODAY()),"Check follow-up",IF(AND(OR($M72="Not Submitted",$M72="Submitted"),$G72&lt;&gt;"",TODAY()-$G72&gt;IFERROR(VLOOKUP("Open case review target (days)",Assumptions!$A$2:$B$7,2,FALSE),99999)),"Check open duration",""))))))))))</f>
        <v/>
      </c>
    </row>
    <row r="73" ht="22" customHeight="1">
      <c r="A73" s="15" t="n"/>
      <c r="B73" s="15" t="n"/>
      <c r="C73" s="15" t="n"/>
      <c r="D73" s="16" t="n"/>
      <c r="E73" s="15" t="n"/>
      <c r="F73" s="34" t="n"/>
      <c r="G73" s="34" t="n"/>
      <c r="H73" s="34" t="n"/>
      <c r="I73" s="18" t="n"/>
      <c r="J73" s="18" t="n"/>
      <c r="K73" s="16" t="n"/>
      <c r="L73" s="16" t="n"/>
      <c r="M73" s="16" t="n"/>
      <c r="N73" s="34" t="n"/>
      <c r="O73" s="34" t="n"/>
      <c r="P73" s="34" t="n"/>
      <c r="Q73" s="19" t="n"/>
      <c r="R73" s="22">
        <f>IF($G73="","",IFERROR(IF(OR($M73="Reinstated",$M73="Declined",$M73="Withdrawn"),IF($N73="","",MAX(0,$N73-$G73)),MAX(0,TODAY()-$G73)),""))</f>
        <v/>
      </c>
      <c r="S73" s="10">
        <f>IF($I73="","",IFERROR(MAX(0,$I73-IF($J73="",0,$J73)),""))</f>
        <v/>
      </c>
      <c r="T73" s="23">
        <f>IF($A73="","",IF(OR(AND($F73&lt;&gt;"",$G73&lt;&gt;"",$F73&gt;$G73),AND($N73&lt;&gt;"",$G73&lt;&gt;"",$N73&lt;$G73)),"Check date order",IF($M73="","Check outcome status",IF(AND(OR($M73="Reinstated",$M73="Declined",$M73="Withdrawn"),$N73=""),"Check decision date",IF(AND($M73="Reinstated",$O73=""),"Check effective date",IF(AND($M73="Reinstated",$S73&gt;0),"Check balance",IF(AND(OR($M73="Not Submitted",$M73="Submitted"),$H73&lt;&gt;"",AND($K73&lt;&gt;"Complete",$K73&lt;&gt;"Not Required"),$H73&lt;TODAY()),"Check overdue requirements",IF(AND(OR($M73="Not Submitted",$M73="Submitted"),$H73&lt;&gt;"",AND($K73&lt;&gt;"Complete",$K73&lt;&gt;"Not Required"),$H73&gt;=TODAY(),$H73&lt;=TODAY()+IFERROR(VLOOKUP("Due-soon window (days)",Assumptions!$A$2:$B$7,2,FALSE),0)),"Check requirements due soon",IF(AND(OR($M73="Not Submitted",$M73="Submitted"),$P73&lt;&gt;"",$P73&lt;=TODAY()),"Check follow-up",IF(AND(OR($M73="Not Submitted",$M73="Submitted"),$G73&lt;&gt;"",TODAY()-$G73&gt;IFERROR(VLOOKUP("Open case review target (days)",Assumptions!$A$2:$B$7,2,FALSE),99999)),"Check open duration",""))))))))))</f>
        <v/>
      </c>
    </row>
    <row r="74" ht="22" customHeight="1">
      <c r="A74" s="15" t="n"/>
      <c r="B74" s="15" t="n"/>
      <c r="C74" s="15" t="n"/>
      <c r="D74" s="16" t="n"/>
      <c r="E74" s="15" t="n"/>
      <c r="F74" s="34" t="n"/>
      <c r="G74" s="34" t="n"/>
      <c r="H74" s="34" t="n"/>
      <c r="I74" s="18" t="n"/>
      <c r="J74" s="18" t="n"/>
      <c r="K74" s="16" t="n"/>
      <c r="L74" s="16" t="n"/>
      <c r="M74" s="16" t="n"/>
      <c r="N74" s="34" t="n"/>
      <c r="O74" s="34" t="n"/>
      <c r="P74" s="34" t="n"/>
      <c r="Q74" s="19" t="n"/>
      <c r="R74" s="20">
        <f>IF($G74="","",IFERROR(IF(OR($M74="Reinstated",$M74="Declined",$M74="Withdrawn"),IF($N74="","",MAX(0,$N74-$G74)),MAX(0,TODAY()-$G74)),""))</f>
        <v/>
      </c>
      <c r="S74" s="6">
        <f>IF($I74="","",IFERROR(MAX(0,$I74-IF($J74="",0,$J74)),""))</f>
        <v/>
      </c>
      <c r="T74" s="21">
        <f>IF($A74="","",IF(OR(AND($F74&lt;&gt;"",$G74&lt;&gt;"",$F74&gt;$G74),AND($N74&lt;&gt;"",$G74&lt;&gt;"",$N74&lt;$G74)),"Check date order",IF($M74="","Check outcome status",IF(AND(OR($M74="Reinstated",$M74="Declined",$M74="Withdrawn"),$N74=""),"Check decision date",IF(AND($M74="Reinstated",$O74=""),"Check effective date",IF(AND($M74="Reinstated",$S74&gt;0),"Check balance",IF(AND(OR($M74="Not Submitted",$M74="Submitted"),$H74&lt;&gt;"",AND($K74&lt;&gt;"Complete",$K74&lt;&gt;"Not Required"),$H74&lt;TODAY()),"Check overdue requirements",IF(AND(OR($M74="Not Submitted",$M74="Submitted"),$H74&lt;&gt;"",AND($K74&lt;&gt;"Complete",$K74&lt;&gt;"Not Required"),$H74&gt;=TODAY(),$H74&lt;=TODAY()+IFERROR(VLOOKUP("Due-soon window (days)",Assumptions!$A$2:$B$7,2,FALSE),0)),"Check requirements due soon",IF(AND(OR($M74="Not Submitted",$M74="Submitted"),$P74&lt;&gt;"",$P74&lt;=TODAY()),"Check follow-up",IF(AND(OR($M74="Not Submitted",$M74="Submitted"),$G74&lt;&gt;"",TODAY()-$G74&gt;IFERROR(VLOOKUP("Open case review target (days)",Assumptions!$A$2:$B$7,2,FALSE),99999)),"Check open duration",""))))))))))</f>
        <v/>
      </c>
    </row>
    <row r="75" ht="22" customHeight="1">
      <c r="A75" s="15" t="n"/>
      <c r="B75" s="15" t="n"/>
      <c r="C75" s="15" t="n"/>
      <c r="D75" s="16" t="n"/>
      <c r="E75" s="15" t="n"/>
      <c r="F75" s="34" t="n"/>
      <c r="G75" s="34" t="n"/>
      <c r="H75" s="34" t="n"/>
      <c r="I75" s="18" t="n"/>
      <c r="J75" s="18" t="n"/>
      <c r="K75" s="16" t="n"/>
      <c r="L75" s="16" t="n"/>
      <c r="M75" s="16" t="n"/>
      <c r="N75" s="34" t="n"/>
      <c r="O75" s="34" t="n"/>
      <c r="P75" s="34" t="n"/>
      <c r="Q75" s="19" t="n"/>
      <c r="R75" s="22">
        <f>IF($G75="","",IFERROR(IF(OR($M75="Reinstated",$M75="Declined",$M75="Withdrawn"),IF($N75="","",MAX(0,$N75-$G75)),MAX(0,TODAY()-$G75)),""))</f>
        <v/>
      </c>
      <c r="S75" s="10">
        <f>IF($I75="","",IFERROR(MAX(0,$I75-IF($J75="",0,$J75)),""))</f>
        <v/>
      </c>
      <c r="T75" s="23">
        <f>IF($A75="","",IF(OR(AND($F75&lt;&gt;"",$G75&lt;&gt;"",$F75&gt;$G75),AND($N75&lt;&gt;"",$G75&lt;&gt;"",$N75&lt;$G75)),"Check date order",IF($M75="","Check outcome status",IF(AND(OR($M75="Reinstated",$M75="Declined",$M75="Withdrawn"),$N75=""),"Check decision date",IF(AND($M75="Reinstated",$O75=""),"Check effective date",IF(AND($M75="Reinstated",$S75&gt;0),"Check balance",IF(AND(OR($M75="Not Submitted",$M75="Submitted"),$H75&lt;&gt;"",AND($K75&lt;&gt;"Complete",$K75&lt;&gt;"Not Required"),$H75&lt;TODAY()),"Check overdue requirements",IF(AND(OR($M75="Not Submitted",$M75="Submitted"),$H75&lt;&gt;"",AND($K75&lt;&gt;"Complete",$K75&lt;&gt;"Not Required"),$H75&gt;=TODAY(),$H75&lt;=TODAY()+IFERROR(VLOOKUP("Due-soon window (days)",Assumptions!$A$2:$B$7,2,FALSE),0)),"Check requirements due soon",IF(AND(OR($M75="Not Submitted",$M75="Submitted"),$P75&lt;&gt;"",$P75&lt;=TODAY()),"Check follow-up",IF(AND(OR($M75="Not Submitted",$M75="Submitted"),$G75&lt;&gt;"",TODAY()-$G75&gt;IFERROR(VLOOKUP("Open case review target (days)",Assumptions!$A$2:$B$7,2,FALSE),99999)),"Check open duration",""))))))))))</f>
        <v/>
      </c>
    </row>
    <row r="76" ht="22" customHeight="1">
      <c r="A76" s="15" t="n"/>
      <c r="B76" s="15" t="n"/>
      <c r="C76" s="15" t="n"/>
      <c r="D76" s="16" t="n"/>
      <c r="E76" s="15" t="n"/>
      <c r="F76" s="34" t="n"/>
      <c r="G76" s="34" t="n"/>
      <c r="H76" s="34" t="n"/>
      <c r="I76" s="18" t="n"/>
      <c r="J76" s="18" t="n"/>
      <c r="K76" s="16" t="n"/>
      <c r="L76" s="16" t="n"/>
      <c r="M76" s="16" t="n"/>
      <c r="N76" s="34" t="n"/>
      <c r="O76" s="34" t="n"/>
      <c r="P76" s="34" t="n"/>
      <c r="Q76" s="19" t="n"/>
      <c r="R76" s="20">
        <f>IF($G76="","",IFERROR(IF(OR($M76="Reinstated",$M76="Declined",$M76="Withdrawn"),IF($N76="","",MAX(0,$N76-$G76)),MAX(0,TODAY()-$G76)),""))</f>
        <v/>
      </c>
      <c r="S76" s="6">
        <f>IF($I76="","",IFERROR(MAX(0,$I76-IF($J76="",0,$J76)),""))</f>
        <v/>
      </c>
      <c r="T76" s="21">
        <f>IF($A76="","",IF(OR(AND($F76&lt;&gt;"",$G76&lt;&gt;"",$F76&gt;$G76),AND($N76&lt;&gt;"",$G76&lt;&gt;"",$N76&lt;$G76)),"Check date order",IF($M76="","Check outcome status",IF(AND(OR($M76="Reinstated",$M76="Declined",$M76="Withdrawn"),$N76=""),"Check decision date",IF(AND($M76="Reinstated",$O76=""),"Check effective date",IF(AND($M76="Reinstated",$S76&gt;0),"Check balance",IF(AND(OR($M76="Not Submitted",$M76="Submitted"),$H76&lt;&gt;"",AND($K76&lt;&gt;"Complete",$K76&lt;&gt;"Not Required"),$H76&lt;TODAY()),"Check overdue requirements",IF(AND(OR($M76="Not Submitted",$M76="Submitted"),$H76&lt;&gt;"",AND($K76&lt;&gt;"Complete",$K76&lt;&gt;"Not Required"),$H76&gt;=TODAY(),$H76&lt;=TODAY()+IFERROR(VLOOKUP("Due-soon window (days)",Assumptions!$A$2:$B$7,2,FALSE),0)),"Check requirements due soon",IF(AND(OR($M76="Not Submitted",$M76="Submitted"),$P76&lt;&gt;"",$P76&lt;=TODAY()),"Check follow-up",IF(AND(OR($M76="Not Submitted",$M76="Submitted"),$G76&lt;&gt;"",TODAY()-$G76&gt;IFERROR(VLOOKUP("Open case review target (days)",Assumptions!$A$2:$B$7,2,FALSE),99999)),"Check open duration",""))))))))))</f>
        <v/>
      </c>
    </row>
    <row r="77" ht="22" customHeight="1">
      <c r="A77" s="15" t="n"/>
      <c r="B77" s="15" t="n"/>
      <c r="C77" s="15" t="n"/>
      <c r="D77" s="16" t="n"/>
      <c r="E77" s="15" t="n"/>
      <c r="F77" s="34" t="n"/>
      <c r="G77" s="34" t="n"/>
      <c r="H77" s="34" t="n"/>
      <c r="I77" s="18" t="n"/>
      <c r="J77" s="18" t="n"/>
      <c r="K77" s="16" t="n"/>
      <c r="L77" s="16" t="n"/>
      <c r="M77" s="16" t="n"/>
      <c r="N77" s="34" t="n"/>
      <c r="O77" s="34" t="n"/>
      <c r="P77" s="34" t="n"/>
      <c r="Q77" s="19" t="n"/>
      <c r="R77" s="22">
        <f>IF($G77="","",IFERROR(IF(OR($M77="Reinstated",$M77="Declined",$M77="Withdrawn"),IF($N77="","",MAX(0,$N77-$G77)),MAX(0,TODAY()-$G77)),""))</f>
        <v/>
      </c>
      <c r="S77" s="10">
        <f>IF($I77="","",IFERROR(MAX(0,$I77-IF($J77="",0,$J77)),""))</f>
        <v/>
      </c>
      <c r="T77" s="23">
        <f>IF($A77="","",IF(OR(AND($F77&lt;&gt;"",$G77&lt;&gt;"",$F77&gt;$G77),AND($N77&lt;&gt;"",$G77&lt;&gt;"",$N77&lt;$G77)),"Check date order",IF($M77="","Check outcome status",IF(AND(OR($M77="Reinstated",$M77="Declined",$M77="Withdrawn"),$N77=""),"Check decision date",IF(AND($M77="Reinstated",$O77=""),"Check effective date",IF(AND($M77="Reinstated",$S77&gt;0),"Check balance",IF(AND(OR($M77="Not Submitted",$M77="Submitted"),$H77&lt;&gt;"",AND($K77&lt;&gt;"Complete",$K77&lt;&gt;"Not Required"),$H77&lt;TODAY()),"Check overdue requirements",IF(AND(OR($M77="Not Submitted",$M77="Submitted"),$H77&lt;&gt;"",AND($K77&lt;&gt;"Complete",$K77&lt;&gt;"Not Required"),$H77&gt;=TODAY(),$H77&lt;=TODAY()+IFERROR(VLOOKUP("Due-soon window (days)",Assumptions!$A$2:$B$7,2,FALSE),0)),"Check requirements due soon",IF(AND(OR($M77="Not Submitted",$M77="Submitted"),$P77&lt;&gt;"",$P77&lt;=TODAY()),"Check follow-up",IF(AND(OR($M77="Not Submitted",$M77="Submitted"),$G77&lt;&gt;"",TODAY()-$G77&gt;IFERROR(VLOOKUP("Open case review target (days)",Assumptions!$A$2:$B$7,2,FALSE),99999)),"Check open duration",""))))))))))</f>
        <v/>
      </c>
    </row>
    <row r="78" ht="22" customHeight="1">
      <c r="A78" s="15" t="n"/>
      <c r="B78" s="15" t="n"/>
      <c r="C78" s="15" t="n"/>
      <c r="D78" s="16" t="n"/>
      <c r="E78" s="15" t="n"/>
      <c r="F78" s="34" t="n"/>
      <c r="G78" s="34" t="n"/>
      <c r="H78" s="34" t="n"/>
      <c r="I78" s="18" t="n"/>
      <c r="J78" s="18" t="n"/>
      <c r="K78" s="16" t="n"/>
      <c r="L78" s="16" t="n"/>
      <c r="M78" s="16" t="n"/>
      <c r="N78" s="34" t="n"/>
      <c r="O78" s="34" t="n"/>
      <c r="P78" s="34" t="n"/>
      <c r="Q78" s="19" t="n"/>
      <c r="R78" s="20">
        <f>IF($G78="","",IFERROR(IF(OR($M78="Reinstated",$M78="Declined",$M78="Withdrawn"),IF($N78="","",MAX(0,$N78-$G78)),MAX(0,TODAY()-$G78)),""))</f>
        <v/>
      </c>
      <c r="S78" s="6">
        <f>IF($I78="","",IFERROR(MAX(0,$I78-IF($J78="",0,$J78)),""))</f>
        <v/>
      </c>
      <c r="T78" s="21">
        <f>IF($A78="","",IF(OR(AND($F78&lt;&gt;"",$G78&lt;&gt;"",$F78&gt;$G78),AND($N78&lt;&gt;"",$G78&lt;&gt;"",$N78&lt;$G78)),"Check date order",IF($M78="","Check outcome status",IF(AND(OR($M78="Reinstated",$M78="Declined",$M78="Withdrawn"),$N78=""),"Check decision date",IF(AND($M78="Reinstated",$O78=""),"Check effective date",IF(AND($M78="Reinstated",$S78&gt;0),"Check balance",IF(AND(OR($M78="Not Submitted",$M78="Submitted"),$H78&lt;&gt;"",AND($K78&lt;&gt;"Complete",$K78&lt;&gt;"Not Required"),$H78&lt;TODAY()),"Check overdue requirements",IF(AND(OR($M78="Not Submitted",$M78="Submitted"),$H78&lt;&gt;"",AND($K78&lt;&gt;"Complete",$K78&lt;&gt;"Not Required"),$H78&gt;=TODAY(),$H78&lt;=TODAY()+IFERROR(VLOOKUP("Due-soon window (days)",Assumptions!$A$2:$B$7,2,FALSE),0)),"Check requirements due soon",IF(AND(OR($M78="Not Submitted",$M78="Submitted"),$P78&lt;&gt;"",$P78&lt;=TODAY()),"Check follow-up",IF(AND(OR($M78="Not Submitted",$M78="Submitted"),$G78&lt;&gt;"",TODAY()-$G78&gt;IFERROR(VLOOKUP("Open case review target (days)",Assumptions!$A$2:$B$7,2,FALSE),99999)),"Check open duration",""))))))))))</f>
        <v/>
      </c>
    </row>
    <row r="79" ht="22" customHeight="1">
      <c r="A79" s="15" t="n"/>
      <c r="B79" s="15" t="n"/>
      <c r="C79" s="15" t="n"/>
      <c r="D79" s="16" t="n"/>
      <c r="E79" s="15" t="n"/>
      <c r="F79" s="34" t="n"/>
      <c r="G79" s="34" t="n"/>
      <c r="H79" s="34" t="n"/>
      <c r="I79" s="18" t="n"/>
      <c r="J79" s="18" t="n"/>
      <c r="K79" s="16" t="n"/>
      <c r="L79" s="16" t="n"/>
      <c r="M79" s="16" t="n"/>
      <c r="N79" s="34" t="n"/>
      <c r="O79" s="34" t="n"/>
      <c r="P79" s="34" t="n"/>
      <c r="Q79" s="19" t="n"/>
      <c r="R79" s="22">
        <f>IF($G79="","",IFERROR(IF(OR($M79="Reinstated",$M79="Declined",$M79="Withdrawn"),IF($N79="","",MAX(0,$N79-$G79)),MAX(0,TODAY()-$G79)),""))</f>
        <v/>
      </c>
      <c r="S79" s="10">
        <f>IF($I79="","",IFERROR(MAX(0,$I79-IF($J79="",0,$J79)),""))</f>
        <v/>
      </c>
      <c r="T79" s="23">
        <f>IF($A79="","",IF(OR(AND($F79&lt;&gt;"",$G79&lt;&gt;"",$F79&gt;$G79),AND($N79&lt;&gt;"",$G79&lt;&gt;"",$N79&lt;$G79)),"Check date order",IF($M79="","Check outcome status",IF(AND(OR($M79="Reinstated",$M79="Declined",$M79="Withdrawn"),$N79=""),"Check decision date",IF(AND($M79="Reinstated",$O79=""),"Check effective date",IF(AND($M79="Reinstated",$S79&gt;0),"Check balance",IF(AND(OR($M79="Not Submitted",$M79="Submitted"),$H79&lt;&gt;"",AND($K79&lt;&gt;"Complete",$K79&lt;&gt;"Not Required"),$H79&lt;TODAY()),"Check overdue requirements",IF(AND(OR($M79="Not Submitted",$M79="Submitted"),$H79&lt;&gt;"",AND($K79&lt;&gt;"Complete",$K79&lt;&gt;"Not Required"),$H79&gt;=TODAY(),$H79&lt;=TODAY()+IFERROR(VLOOKUP("Due-soon window (days)",Assumptions!$A$2:$B$7,2,FALSE),0)),"Check requirements due soon",IF(AND(OR($M79="Not Submitted",$M79="Submitted"),$P79&lt;&gt;"",$P79&lt;=TODAY()),"Check follow-up",IF(AND(OR($M79="Not Submitted",$M79="Submitted"),$G79&lt;&gt;"",TODAY()-$G79&gt;IFERROR(VLOOKUP("Open case review target (days)",Assumptions!$A$2:$B$7,2,FALSE),99999)),"Check open duration",""))))))))))</f>
        <v/>
      </c>
    </row>
    <row r="80" ht="22" customHeight="1">
      <c r="A80" s="15" t="n"/>
      <c r="B80" s="15" t="n"/>
      <c r="C80" s="15" t="n"/>
      <c r="D80" s="16" t="n"/>
      <c r="E80" s="15" t="n"/>
      <c r="F80" s="34" t="n"/>
      <c r="G80" s="34" t="n"/>
      <c r="H80" s="34" t="n"/>
      <c r="I80" s="18" t="n"/>
      <c r="J80" s="18" t="n"/>
      <c r="K80" s="16" t="n"/>
      <c r="L80" s="16" t="n"/>
      <c r="M80" s="16" t="n"/>
      <c r="N80" s="34" t="n"/>
      <c r="O80" s="34" t="n"/>
      <c r="P80" s="34" t="n"/>
      <c r="Q80" s="19" t="n"/>
      <c r="R80" s="20">
        <f>IF($G80="","",IFERROR(IF(OR($M80="Reinstated",$M80="Declined",$M80="Withdrawn"),IF($N80="","",MAX(0,$N80-$G80)),MAX(0,TODAY()-$G80)),""))</f>
        <v/>
      </c>
      <c r="S80" s="6">
        <f>IF($I80="","",IFERROR(MAX(0,$I80-IF($J80="",0,$J80)),""))</f>
        <v/>
      </c>
      <c r="T80" s="21">
        <f>IF($A80="","",IF(OR(AND($F80&lt;&gt;"",$G80&lt;&gt;"",$F80&gt;$G80),AND($N80&lt;&gt;"",$G80&lt;&gt;"",$N80&lt;$G80)),"Check date order",IF($M80="","Check outcome status",IF(AND(OR($M80="Reinstated",$M80="Declined",$M80="Withdrawn"),$N80=""),"Check decision date",IF(AND($M80="Reinstated",$O80=""),"Check effective date",IF(AND($M80="Reinstated",$S80&gt;0),"Check balance",IF(AND(OR($M80="Not Submitted",$M80="Submitted"),$H80&lt;&gt;"",AND($K80&lt;&gt;"Complete",$K80&lt;&gt;"Not Required"),$H80&lt;TODAY()),"Check overdue requirements",IF(AND(OR($M80="Not Submitted",$M80="Submitted"),$H80&lt;&gt;"",AND($K80&lt;&gt;"Complete",$K80&lt;&gt;"Not Required"),$H80&gt;=TODAY(),$H80&lt;=TODAY()+IFERROR(VLOOKUP("Due-soon window (days)",Assumptions!$A$2:$B$7,2,FALSE),0)),"Check requirements due soon",IF(AND(OR($M80="Not Submitted",$M80="Submitted"),$P80&lt;&gt;"",$P80&lt;=TODAY()),"Check follow-up",IF(AND(OR($M80="Not Submitted",$M80="Submitted"),$G80&lt;&gt;"",TODAY()-$G80&gt;IFERROR(VLOOKUP("Open case review target (days)",Assumptions!$A$2:$B$7,2,FALSE),99999)),"Check open duration",""))))))))))</f>
        <v/>
      </c>
    </row>
    <row r="81" ht="22" customHeight="1">
      <c r="A81" s="15" t="n"/>
      <c r="B81" s="15" t="n"/>
      <c r="C81" s="15" t="n"/>
      <c r="D81" s="16" t="n"/>
      <c r="E81" s="15" t="n"/>
      <c r="F81" s="34" t="n"/>
      <c r="G81" s="34" t="n"/>
      <c r="H81" s="34" t="n"/>
      <c r="I81" s="18" t="n"/>
      <c r="J81" s="18" t="n"/>
      <c r="K81" s="16" t="n"/>
      <c r="L81" s="16" t="n"/>
      <c r="M81" s="16" t="n"/>
      <c r="N81" s="34" t="n"/>
      <c r="O81" s="34" t="n"/>
      <c r="P81" s="34" t="n"/>
      <c r="Q81" s="19" t="n"/>
      <c r="R81" s="22">
        <f>IF($G81="","",IFERROR(IF(OR($M81="Reinstated",$M81="Declined",$M81="Withdrawn"),IF($N81="","",MAX(0,$N81-$G81)),MAX(0,TODAY()-$G81)),""))</f>
        <v/>
      </c>
      <c r="S81" s="10">
        <f>IF($I81="","",IFERROR(MAX(0,$I81-IF($J81="",0,$J81)),""))</f>
        <v/>
      </c>
      <c r="T81" s="23">
        <f>IF($A81="","",IF(OR(AND($F81&lt;&gt;"",$G81&lt;&gt;"",$F81&gt;$G81),AND($N81&lt;&gt;"",$G81&lt;&gt;"",$N81&lt;$G81)),"Check date order",IF($M81="","Check outcome status",IF(AND(OR($M81="Reinstated",$M81="Declined",$M81="Withdrawn"),$N81=""),"Check decision date",IF(AND($M81="Reinstated",$O81=""),"Check effective date",IF(AND($M81="Reinstated",$S81&gt;0),"Check balance",IF(AND(OR($M81="Not Submitted",$M81="Submitted"),$H81&lt;&gt;"",AND($K81&lt;&gt;"Complete",$K81&lt;&gt;"Not Required"),$H81&lt;TODAY()),"Check overdue requirements",IF(AND(OR($M81="Not Submitted",$M81="Submitted"),$H81&lt;&gt;"",AND($K81&lt;&gt;"Complete",$K81&lt;&gt;"Not Required"),$H81&gt;=TODAY(),$H81&lt;=TODAY()+IFERROR(VLOOKUP("Due-soon window (days)",Assumptions!$A$2:$B$7,2,FALSE),0)),"Check requirements due soon",IF(AND(OR($M81="Not Submitted",$M81="Submitted"),$P81&lt;&gt;"",$P81&lt;=TODAY()),"Check follow-up",IF(AND(OR($M81="Not Submitted",$M81="Submitted"),$G81&lt;&gt;"",TODAY()-$G81&gt;IFERROR(VLOOKUP("Open case review target (days)",Assumptions!$A$2:$B$7,2,FALSE),99999)),"Check open duration",""))))))))))</f>
        <v/>
      </c>
    </row>
    <row r="82" ht="22" customHeight="1">
      <c r="A82" s="15" t="n"/>
      <c r="B82" s="15" t="n"/>
      <c r="C82" s="15" t="n"/>
      <c r="D82" s="16" t="n"/>
      <c r="E82" s="15" t="n"/>
      <c r="F82" s="34" t="n"/>
      <c r="G82" s="34" t="n"/>
      <c r="H82" s="34" t="n"/>
      <c r="I82" s="18" t="n"/>
      <c r="J82" s="18" t="n"/>
      <c r="K82" s="16" t="n"/>
      <c r="L82" s="16" t="n"/>
      <c r="M82" s="16" t="n"/>
      <c r="N82" s="34" t="n"/>
      <c r="O82" s="34" t="n"/>
      <c r="P82" s="34" t="n"/>
      <c r="Q82" s="19" t="n"/>
      <c r="R82" s="20">
        <f>IF($G82="","",IFERROR(IF(OR($M82="Reinstated",$M82="Declined",$M82="Withdrawn"),IF($N82="","",MAX(0,$N82-$G82)),MAX(0,TODAY()-$G82)),""))</f>
        <v/>
      </c>
      <c r="S82" s="6">
        <f>IF($I82="","",IFERROR(MAX(0,$I82-IF($J82="",0,$J82)),""))</f>
        <v/>
      </c>
      <c r="T82" s="21">
        <f>IF($A82="","",IF(OR(AND($F82&lt;&gt;"",$G82&lt;&gt;"",$F82&gt;$G82),AND($N82&lt;&gt;"",$G82&lt;&gt;"",$N82&lt;$G82)),"Check date order",IF($M82="","Check outcome status",IF(AND(OR($M82="Reinstated",$M82="Declined",$M82="Withdrawn"),$N82=""),"Check decision date",IF(AND($M82="Reinstated",$O82=""),"Check effective date",IF(AND($M82="Reinstated",$S82&gt;0),"Check balance",IF(AND(OR($M82="Not Submitted",$M82="Submitted"),$H82&lt;&gt;"",AND($K82&lt;&gt;"Complete",$K82&lt;&gt;"Not Required"),$H82&lt;TODAY()),"Check overdue requirements",IF(AND(OR($M82="Not Submitted",$M82="Submitted"),$H82&lt;&gt;"",AND($K82&lt;&gt;"Complete",$K82&lt;&gt;"Not Required"),$H82&gt;=TODAY(),$H82&lt;=TODAY()+IFERROR(VLOOKUP("Due-soon window (days)",Assumptions!$A$2:$B$7,2,FALSE),0)),"Check requirements due soon",IF(AND(OR($M82="Not Submitted",$M82="Submitted"),$P82&lt;&gt;"",$P82&lt;=TODAY()),"Check follow-up",IF(AND(OR($M82="Not Submitted",$M82="Submitted"),$G82&lt;&gt;"",TODAY()-$G82&gt;IFERROR(VLOOKUP("Open case review target (days)",Assumptions!$A$2:$B$7,2,FALSE),99999)),"Check open duration",""))))))))))</f>
        <v/>
      </c>
    </row>
    <row r="83" ht="22" customHeight="1">
      <c r="A83" s="15" t="n"/>
      <c r="B83" s="15" t="n"/>
      <c r="C83" s="15" t="n"/>
      <c r="D83" s="16" t="n"/>
      <c r="E83" s="15" t="n"/>
      <c r="F83" s="34" t="n"/>
      <c r="G83" s="34" t="n"/>
      <c r="H83" s="34" t="n"/>
      <c r="I83" s="18" t="n"/>
      <c r="J83" s="18" t="n"/>
      <c r="K83" s="16" t="n"/>
      <c r="L83" s="16" t="n"/>
      <c r="M83" s="16" t="n"/>
      <c r="N83" s="34" t="n"/>
      <c r="O83" s="34" t="n"/>
      <c r="P83" s="34" t="n"/>
      <c r="Q83" s="19" t="n"/>
      <c r="R83" s="22">
        <f>IF($G83="","",IFERROR(IF(OR($M83="Reinstated",$M83="Declined",$M83="Withdrawn"),IF($N83="","",MAX(0,$N83-$G83)),MAX(0,TODAY()-$G83)),""))</f>
        <v/>
      </c>
      <c r="S83" s="10">
        <f>IF($I83="","",IFERROR(MAX(0,$I83-IF($J83="",0,$J83)),""))</f>
        <v/>
      </c>
      <c r="T83" s="23">
        <f>IF($A83="","",IF(OR(AND($F83&lt;&gt;"",$G83&lt;&gt;"",$F83&gt;$G83),AND($N83&lt;&gt;"",$G83&lt;&gt;"",$N83&lt;$G83)),"Check date order",IF($M83="","Check outcome status",IF(AND(OR($M83="Reinstated",$M83="Declined",$M83="Withdrawn"),$N83=""),"Check decision date",IF(AND($M83="Reinstated",$O83=""),"Check effective date",IF(AND($M83="Reinstated",$S83&gt;0),"Check balance",IF(AND(OR($M83="Not Submitted",$M83="Submitted"),$H83&lt;&gt;"",AND($K83&lt;&gt;"Complete",$K83&lt;&gt;"Not Required"),$H83&lt;TODAY()),"Check overdue requirements",IF(AND(OR($M83="Not Submitted",$M83="Submitted"),$H83&lt;&gt;"",AND($K83&lt;&gt;"Complete",$K83&lt;&gt;"Not Required"),$H83&gt;=TODAY(),$H83&lt;=TODAY()+IFERROR(VLOOKUP("Due-soon window (days)",Assumptions!$A$2:$B$7,2,FALSE),0)),"Check requirements due soon",IF(AND(OR($M83="Not Submitted",$M83="Submitted"),$P83&lt;&gt;"",$P83&lt;=TODAY()),"Check follow-up",IF(AND(OR($M83="Not Submitted",$M83="Submitted"),$G83&lt;&gt;"",TODAY()-$G83&gt;IFERROR(VLOOKUP("Open case review target (days)",Assumptions!$A$2:$B$7,2,FALSE),99999)),"Check open duration",""))))))))))</f>
        <v/>
      </c>
    </row>
    <row r="84" ht="22" customHeight="1">
      <c r="A84" s="15" t="n"/>
      <c r="B84" s="15" t="n"/>
      <c r="C84" s="15" t="n"/>
      <c r="D84" s="16" t="n"/>
      <c r="E84" s="15" t="n"/>
      <c r="F84" s="34" t="n"/>
      <c r="G84" s="34" t="n"/>
      <c r="H84" s="34" t="n"/>
      <c r="I84" s="18" t="n"/>
      <c r="J84" s="18" t="n"/>
      <c r="K84" s="16" t="n"/>
      <c r="L84" s="16" t="n"/>
      <c r="M84" s="16" t="n"/>
      <c r="N84" s="34" t="n"/>
      <c r="O84" s="34" t="n"/>
      <c r="P84" s="34" t="n"/>
      <c r="Q84" s="19" t="n"/>
      <c r="R84" s="20">
        <f>IF($G84="","",IFERROR(IF(OR($M84="Reinstated",$M84="Declined",$M84="Withdrawn"),IF($N84="","",MAX(0,$N84-$G84)),MAX(0,TODAY()-$G84)),""))</f>
        <v/>
      </c>
      <c r="S84" s="6">
        <f>IF($I84="","",IFERROR(MAX(0,$I84-IF($J84="",0,$J84)),""))</f>
        <v/>
      </c>
      <c r="T84" s="21">
        <f>IF($A84="","",IF(OR(AND($F84&lt;&gt;"",$G84&lt;&gt;"",$F84&gt;$G84),AND($N84&lt;&gt;"",$G84&lt;&gt;"",$N84&lt;$G84)),"Check date order",IF($M84="","Check outcome status",IF(AND(OR($M84="Reinstated",$M84="Declined",$M84="Withdrawn"),$N84=""),"Check decision date",IF(AND($M84="Reinstated",$O84=""),"Check effective date",IF(AND($M84="Reinstated",$S84&gt;0),"Check balance",IF(AND(OR($M84="Not Submitted",$M84="Submitted"),$H84&lt;&gt;"",AND($K84&lt;&gt;"Complete",$K84&lt;&gt;"Not Required"),$H84&lt;TODAY()),"Check overdue requirements",IF(AND(OR($M84="Not Submitted",$M84="Submitted"),$H84&lt;&gt;"",AND($K84&lt;&gt;"Complete",$K84&lt;&gt;"Not Required"),$H84&gt;=TODAY(),$H84&lt;=TODAY()+IFERROR(VLOOKUP("Due-soon window (days)",Assumptions!$A$2:$B$7,2,FALSE),0)),"Check requirements due soon",IF(AND(OR($M84="Not Submitted",$M84="Submitted"),$P84&lt;&gt;"",$P84&lt;=TODAY()),"Check follow-up",IF(AND(OR($M84="Not Submitted",$M84="Submitted"),$G84&lt;&gt;"",TODAY()-$G84&gt;IFERROR(VLOOKUP("Open case review target (days)",Assumptions!$A$2:$B$7,2,FALSE),99999)),"Check open duration",""))))))))))</f>
        <v/>
      </c>
    </row>
    <row r="85" ht="22" customHeight="1">
      <c r="A85" s="15" t="n"/>
      <c r="B85" s="15" t="n"/>
      <c r="C85" s="15" t="n"/>
      <c r="D85" s="16" t="n"/>
      <c r="E85" s="15" t="n"/>
      <c r="F85" s="34" t="n"/>
      <c r="G85" s="34" t="n"/>
      <c r="H85" s="34" t="n"/>
      <c r="I85" s="18" t="n"/>
      <c r="J85" s="18" t="n"/>
      <c r="K85" s="16" t="n"/>
      <c r="L85" s="16" t="n"/>
      <c r="M85" s="16" t="n"/>
      <c r="N85" s="34" t="n"/>
      <c r="O85" s="34" t="n"/>
      <c r="P85" s="34" t="n"/>
      <c r="Q85" s="19" t="n"/>
      <c r="R85" s="22">
        <f>IF($G85="","",IFERROR(IF(OR($M85="Reinstated",$M85="Declined",$M85="Withdrawn"),IF($N85="","",MAX(0,$N85-$G85)),MAX(0,TODAY()-$G85)),""))</f>
        <v/>
      </c>
      <c r="S85" s="10">
        <f>IF($I85="","",IFERROR(MAX(0,$I85-IF($J85="",0,$J85)),""))</f>
        <v/>
      </c>
      <c r="T85" s="23">
        <f>IF($A85="","",IF(OR(AND($F85&lt;&gt;"",$G85&lt;&gt;"",$F85&gt;$G85),AND($N85&lt;&gt;"",$G85&lt;&gt;"",$N85&lt;$G85)),"Check date order",IF($M85="","Check outcome status",IF(AND(OR($M85="Reinstated",$M85="Declined",$M85="Withdrawn"),$N85=""),"Check decision date",IF(AND($M85="Reinstated",$O85=""),"Check effective date",IF(AND($M85="Reinstated",$S85&gt;0),"Check balance",IF(AND(OR($M85="Not Submitted",$M85="Submitted"),$H85&lt;&gt;"",AND($K85&lt;&gt;"Complete",$K85&lt;&gt;"Not Required"),$H85&lt;TODAY()),"Check overdue requirements",IF(AND(OR($M85="Not Submitted",$M85="Submitted"),$H85&lt;&gt;"",AND($K85&lt;&gt;"Complete",$K85&lt;&gt;"Not Required"),$H85&gt;=TODAY(),$H85&lt;=TODAY()+IFERROR(VLOOKUP("Due-soon window (days)",Assumptions!$A$2:$B$7,2,FALSE),0)),"Check requirements due soon",IF(AND(OR($M85="Not Submitted",$M85="Submitted"),$P85&lt;&gt;"",$P85&lt;=TODAY()),"Check follow-up",IF(AND(OR($M85="Not Submitted",$M85="Submitted"),$G85&lt;&gt;"",TODAY()-$G85&gt;IFERROR(VLOOKUP("Open case review target (days)",Assumptions!$A$2:$B$7,2,FALSE),99999)),"Check open duration",""))))))))))</f>
        <v/>
      </c>
    </row>
    <row r="86" ht="22" customHeight="1">
      <c r="A86" s="15" t="n"/>
      <c r="B86" s="15" t="n"/>
      <c r="C86" s="15" t="n"/>
      <c r="D86" s="16" t="n"/>
      <c r="E86" s="15" t="n"/>
      <c r="F86" s="34" t="n"/>
      <c r="G86" s="34" t="n"/>
      <c r="H86" s="34" t="n"/>
      <c r="I86" s="18" t="n"/>
      <c r="J86" s="18" t="n"/>
      <c r="K86" s="16" t="n"/>
      <c r="L86" s="16" t="n"/>
      <c r="M86" s="16" t="n"/>
      <c r="N86" s="34" t="n"/>
      <c r="O86" s="34" t="n"/>
      <c r="P86" s="34" t="n"/>
      <c r="Q86" s="19" t="n"/>
      <c r="R86" s="20">
        <f>IF($G86="","",IFERROR(IF(OR($M86="Reinstated",$M86="Declined",$M86="Withdrawn"),IF($N86="","",MAX(0,$N86-$G86)),MAX(0,TODAY()-$G86)),""))</f>
        <v/>
      </c>
      <c r="S86" s="6">
        <f>IF($I86="","",IFERROR(MAX(0,$I86-IF($J86="",0,$J86)),""))</f>
        <v/>
      </c>
      <c r="T86" s="21">
        <f>IF($A86="","",IF(OR(AND($F86&lt;&gt;"",$G86&lt;&gt;"",$F86&gt;$G86),AND($N86&lt;&gt;"",$G86&lt;&gt;"",$N86&lt;$G86)),"Check date order",IF($M86="","Check outcome status",IF(AND(OR($M86="Reinstated",$M86="Declined",$M86="Withdrawn"),$N86=""),"Check decision date",IF(AND($M86="Reinstated",$O86=""),"Check effective date",IF(AND($M86="Reinstated",$S86&gt;0),"Check balance",IF(AND(OR($M86="Not Submitted",$M86="Submitted"),$H86&lt;&gt;"",AND($K86&lt;&gt;"Complete",$K86&lt;&gt;"Not Required"),$H86&lt;TODAY()),"Check overdue requirements",IF(AND(OR($M86="Not Submitted",$M86="Submitted"),$H86&lt;&gt;"",AND($K86&lt;&gt;"Complete",$K86&lt;&gt;"Not Required"),$H86&gt;=TODAY(),$H86&lt;=TODAY()+IFERROR(VLOOKUP("Due-soon window (days)",Assumptions!$A$2:$B$7,2,FALSE),0)),"Check requirements due soon",IF(AND(OR($M86="Not Submitted",$M86="Submitted"),$P86&lt;&gt;"",$P86&lt;=TODAY()),"Check follow-up",IF(AND(OR($M86="Not Submitted",$M86="Submitted"),$G86&lt;&gt;"",TODAY()-$G86&gt;IFERROR(VLOOKUP("Open case review target (days)",Assumptions!$A$2:$B$7,2,FALSE),99999)),"Check open duration",""))))))))))</f>
        <v/>
      </c>
    </row>
    <row r="87" ht="22" customHeight="1">
      <c r="A87" s="15" t="n"/>
      <c r="B87" s="15" t="n"/>
      <c r="C87" s="15" t="n"/>
      <c r="D87" s="16" t="n"/>
      <c r="E87" s="15" t="n"/>
      <c r="F87" s="34" t="n"/>
      <c r="G87" s="34" t="n"/>
      <c r="H87" s="34" t="n"/>
      <c r="I87" s="18" t="n"/>
      <c r="J87" s="18" t="n"/>
      <c r="K87" s="16" t="n"/>
      <c r="L87" s="16" t="n"/>
      <c r="M87" s="16" t="n"/>
      <c r="N87" s="34" t="n"/>
      <c r="O87" s="34" t="n"/>
      <c r="P87" s="34" t="n"/>
      <c r="Q87" s="19" t="n"/>
      <c r="R87" s="22">
        <f>IF($G87="","",IFERROR(IF(OR($M87="Reinstated",$M87="Declined",$M87="Withdrawn"),IF($N87="","",MAX(0,$N87-$G87)),MAX(0,TODAY()-$G87)),""))</f>
        <v/>
      </c>
      <c r="S87" s="10">
        <f>IF($I87="","",IFERROR(MAX(0,$I87-IF($J87="",0,$J87)),""))</f>
        <v/>
      </c>
      <c r="T87" s="23">
        <f>IF($A87="","",IF(OR(AND($F87&lt;&gt;"",$G87&lt;&gt;"",$F87&gt;$G87),AND($N87&lt;&gt;"",$G87&lt;&gt;"",$N87&lt;$G87)),"Check date order",IF($M87="","Check outcome status",IF(AND(OR($M87="Reinstated",$M87="Declined",$M87="Withdrawn"),$N87=""),"Check decision date",IF(AND($M87="Reinstated",$O87=""),"Check effective date",IF(AND($M87="Reinstated",$S87&gt;0),"Check balance",IF(AND(OR($M87="Not Submitted",$M87="Submitted"),$H87&lt;&gt;"",AND($K87&lt;&gt;"Complete",$K87&lt;&gt;"Not Required"),$H87&lt;TODAY()),"Check overdue requirements",IF(AND(OR($M87="Not Submitted",$M87="Submitted"),$H87&lt;&gt;"",AND($K87&lt;&gt;"Complete",$K87&lt;&gt;"Not Required"),$H87&gt;=TODAY(),$H87&lt;=TODAY()+IFERROR(VLOOKUP("Due-soon window (days)",Assumptions!$A$2:$B$7,2,FALSE),0)),"Check requirements due soon",IF(AND(OR($M87="Not Submitted",$M87="Submitted"),$P87&lt;&gt;"",$P87&lt;=TODAY()),"Check follow-up",IF(AND(OR($M87="Not Submitted",$M87="Submitted"),$G87&lt;&gt;"",TODAY()-$G87&gt;IFERROR(VLOOKUP("Open case review target (days)",Assumptions!$A$2:$B$7,2,FALSE),99999)),"Check open duration",""))))))))))</f>
        <v/>
      </c>
    </row>
    <row r="88" ht="22" customHeight="1">
      <c r="A88" s="15" t="n"/>
      <c r="B88" s="15" t="n"/>
      <c r="C88" s="15" t="n"/>
      <c r="D88" s="16" t="n"/>
      <c r="E88" s="15" t="n"/>
      <c r="F88" s="34" t="n"/>
      <c r="G88" s="34" t="n"/>
      <c r="H88" s="34" t="n"/>
      <c r="I88" s="18" t="n"/>
      <c r="J88" s="18" t="n"/>
      <c r="K88" s="16" t="n"/>
      <c r="L88" s="16" t="n"/>
      <c r="M88" s="16" t="n"/>
      <c r="N88" s="34" t="n"/>
      <c r="O88" s="34" t="n"/>
      <c r="P88" s="34" t="n"/>
      <c r="Q88" s="19" t="n"/>
      <c r="R88" s="20">
        <f>IF($G88="","",IFERROR(IF(OR($M88="Reinstated",$M88="Declined",$M88="Withdrawn"),IF($N88="","",MAX(0,$N88-$G88)),MAX(0,TODAY()-$G88)),""))</f>
        <v/>
      </c>
      <c r="S88" s="6">
        <f>IF($I88="","",IFERROR(MAX(0,$I88-IF($J88="",0,$J88)),""))</f>
        <v/>
      </c>
      <c r="T88" s="21">
        <f>IF($A88="","",IF(OR(AND($F88&lt;&gt;"",$G88&lt;&gt;"",$F88&gt;$G88),AND($N88&lt;&gt;"",$G88&lt;&gt;"",$N88&lt;$G88)),"Check date order",IF($M88="","Check outcome status",IF(AND(OR($M88="Reinstated",$M88="Declined",$M88="Withdrawn"),$N88=""),"Check decision date",IF(AND($M88="Reinstated",$O88=""),"Check effective date",IF(AND($M88="Reinstated",$S88&gt;0),"Check balance",IF(AND(OR($M88="Not Submitted",$M88="Submitted"),$H88&lt;&gt;"",AND($K88&lt;&gt;"Complete",$K88&lt;&gt;"Not Required"),$H88&lt;TODAY()),"Check overdue requirements",IF(AND(OR($M88="Not Submitted",$M88="Submitted"),$H88&lt;&gt;"",AND($K88&lt;&gt;"Complete",$K88&lt;&gt;"Not Required"),$H88&gt;=TODAY(),$H88&lt;=TODAY()+IFERROR(VLOOKUP("Due-soon window (days)",Assumptions!$A$2:$B$7,2,FALSE),0)),"Check requirements due soon",IF(AND(OR($M88="Not Submitted",$M88="Submitted"),$P88&lt;&gt;"",$P88&lt;=TODAY()),"Check follow-up",IF(AND(OR($M88="Not Submitted",$M88="Submitted"),$G88&lt;&gt;"",TODAY()-$G88&gt;IFERROR(VLOOKUP("Open case review target (days)",Assumptions!$A$2:$B$7,2,FALSE),99999)),"Check open duration",""))))))))))</f>
        <v/>
      </c>
    </row>
    <row r="89" ht="22" customHeight="1">
      <c r="A89" s="15" t="n"/>
      <c r="B89" s="15" t="n"/>
      <c r="C89" s="15" t="n"/>
      <c r="D89" s="16" t="n"/>
      <c r="E89" s="15" t="n"/>
      <c r="F89" s="34" t="n"/>
      <c r="G89" s="34" t="n"/>
      <c r="H89" s="34" t="n"/>
      <c r="I89" s="18" t="n"/>
      <c r="J89" s="18" t="n"/>
      <c r="K89" s="16" t="n"/>
      <c r="L89" s="16" t="n"/>
      <c r="M89" s="16" t="n"/>
      <c r="N89" s="34" t="n"/>
      <c r="O89" s="34" t="n"/>
      <c r="P89" s="34" t="n"/>
      <c r="Q89" s="19" t="n"/>
      <c r="R89" s="22">
        <f>IF($G89="","",IFERROR(IF(OR($M89="Reinstated",$M89="Declined",$M89="Withdrawn"),IF($N89="","",MAX(0,$N89-$G89)),MAX(0,TODAY()-$G89)),""))</f>
        <v/>
      </c>
      <c r="S89" s="10">
        <f>IF($I89="","",IFERROR(MAX(0,$I89-IF($J89="",0,$J89)),""))</f>
        <v/>
      </c>
      <c r="T89" s="23">
        <f>IF($A89="","",IF(OR(AND($F89&lt;&gt;"",$G89&lt;&gt;"",$F89&gt;$G89),AND($N89&lt;&gt;"",$G89&lt;&gt;"",$N89&lt;$G89)),"Check date order",IF($M89="","Check outcome status",IF(AND(OR($M89="Reinstated",$M89="Declined",$M89="Withdrawn"),$N89=""),"Check decision date",IF(AND($M89="Reinstated",$O89=""),"Check effective date",IF(AND($M89="Reinstated",$S89&gt;0),"Check balance",IF(AND(OR($M89="Not Submitted",$M89="Submitted"),$H89&lt;&gt;"",AND($K89&lt;&gt;"Complete",$K89&lt;&gt;"Not Required"),$H89&lt;TODAY()),"Check overdue requirements",IF(AND(OR($M89="Not Submitted",$M89="Submitted"),$H89&lt;&gt;"",AND($K89&lt;&gt;"Complete",$K89&lt;&gt;"Not Required"),$H89&gt;=TODAY(),$H89&lt;=TODAY()+IFERROR(VLOOKUP("Due-soon window (days)",Assumptions!$A$2:$B$7,2,FALSE),0)),"Check requirements due soon",IF(AND(OR($M89="Not Submitted",$M89="Submitted"),$P89&lt;&gt;"",$P89&lt;=TODAY()),"Check follow-up",IF(AND(OR($M89="Not Submitted",$M89="Submitted"),$G89&lt;&gt;"",TODAY()-$G89&gt;IFERROR(VLOOKUP("Open case review target (days)",Assumptions!$A$2:$B$7,2,FALSE),99999)),"Check open duration",""))))))))))</f>
        <v/>
      </c>
    </row>
    <row r="90" ht="22" customHeight="1">
      <c r="A90" s="15" t="n"/>
      <c r="B90" s="15" t="n"/>
      <c r="C90" s="15" t="n"/>
      <c r="D90" s="16" t="n"/>
      <c r="E90" s="15" t="n"/>
      <c r="F90" s="34" t="n"/>
      <c r="G90" s="34" t="n"/>
      <c r="H90" s="34" t="n"/>
      <c r="I90" s="18" t="n"/>
      <c r="J90" s="18" t="n"/>
      <c r="K90" s="16" t="n"/>
      <c r="L90" s="16" t="n"/>
      <c r="M90" s="16" t="n"/>
      <c r="N90" s="34" t="n"/>
      <c r="O90" s="34" t="n"/>
      <c r="P90" s="34" t="n"/>
      <c r="Q90" s="19" t="n"/>
      <c r="R90" s="20">
        <f>IF($G90="","",IFERROR(IF(OR($M90="Reinstated",$M90="Declined",$M90="Withdrawn"),IF($N90="","",MAX(0,$N90-$G90)),MAX(0,TODAY()-$G90)),""))</f>
        <v/>
      </c>
      <c r="S90" s="6">
        <f>IF($I90="","",IFERROR(MAX(0,$I90-IF($J90="",0,$J90)),""))</f>
        <v/>
      </c>
      <c r="T90" s="21">
        <f>IF($A90="","",IF(OR(AND($F90&lt;&gt;"",$G90&lt;&gt;"",$F90&gt;$G90),AND($N90&lt;&gt;"",$G90&lt;&gt;"",$N90&lt;$G90)),"Check date order",IF($M90="","Check outcome status",IF(AND(OR($M90="Reinstated",$M90="Declined",$M90="Withdrawn"),$N90=""),"Check decision date",IF(AND($M90="Reinstated",$O90=""),"Check effective date",IF(AND($M90="Reinstated",$S90&gt;0),"Check balance",IF(AND(OR($M90="Not Submitted",$M90="Submitted"),$H90&lt;&gt;"",AND($K90&lt;&gt;"Complete",$K90&lt;&gt;"Not Required"),$H90&lt;TODAY()),"Check overdue requirements",IF(AND(OR($M90="Not Submitted",$M90="Submitted"),$H90&lt;&gt;"",AND($K90&lt;&gt;"Complete",$K90&lt;&gt;"Not Required"),$H90&gt;=TODAY(),$H90&lt;=TODAY()+IFERROR(VLOOKUP("Due-soon window (days)",Assumptions!$A$2:$B$7,2,FALSE),0)),"Check requirements due soon",IF(AND(OR($M90="Not Submitted",$M90="Submitted"),$P90&lt;&gt;"",$P90&lt;=TODAY()),"Check follow-up",IF(AND(OR($M90="Not Submitted",$M90="Submitted"),$G90&lt;&gt;"",TODAY()-$G90&gt;IFERROR(VLOOKUP("Open case review target (days)",Assumptions!$A$2:$B$7,2,FALSE),99999)),"Check open duration",""))))))))))</f>
        <v/>
      </c>
    </row>
    <row r="91" ht="22" customHeight="1">
      <c r="A91" s="15" t="n"/>
      <c r="B91" s="15" t="n"/>
      <c r="C91" s="15" t="n"/>
      <c r="D91" s="16" t="n"/>
      <c r="E91" s="15" t="n"/>
      <c r="F91" s="34" t="n"/>
      <c r="G91" s="34" t="n"/>
      <c r="H91" s="34" t="n"/>
      <c r="I91" s="18" t="n"/>
      <c r="J91" s="18" t="n"/>
      <c r="K91" s="16" t="n"/>
      <c r="L91" s="16" t="n"/>
      <c r="M91" s="16" t="n"/>
      <c r="N91" s="34" t="n"/>
      <c r="O91" s="34" t="n"/>
      <c r="P91" s="34" t="n"/>
      <c r="Q91" s="19" t="n"/>
      <c r="R91" s="22">
        <f>IF($G91="","",IFERROR(IF(OR($M91="Reinstated",$M91="Declined",$M91="Withdrawn"),IF($N91="","",MAX(0,$N91-$G91)),MAX(0,TODAY()-$G91)),""))</f>
        <v/>
      </c>
      <c r="S91" s="10">
        <f>IF($I91="","",IFERROR(MAX(0,$I91-IF($J91="",0,$J91)),""))</f>
        <v/>
      </c>
      <c r="T91" s="23">
        <f>IF($A91="","",IF(OR(AND($F91&lt;&gt;"",$G91&lt;&gt;"",$F91&gt;$G91),AND($N91&lt;&gt;"",$G91&lt;&gt;"",$N91&lt;$G91)),"Check date order",IF($M91="","Check outcome status",IF(AND(OR($M91="Reinstated",$M91="Declined",$M91="Withdrawn"),$N91=""),"Check decision date",IF(AND($M91="Reinstated",$O91=""),"Check effective date",IF(AND($M91="Reinstated",$S91&gt;0),"Check balance",IF(AND(OR($M91="Not Submitted",$M91="Submitted"),$H91&lt;&gt;"",AND($K91&lt;&gt;"Complete",$K91&lt;&gt;"Not Required"),$H91&lt;TODAY()),"Check overdue requirements",IF(AND(OR($M91="Not Submitted",$M91="Submitted"),$H91&lt;&gt;"",AND($K91&lt;&gt;"Complete",$K91&lt;&gt;"Not Required"),$H91&gt;=TODAY(),$H91&lt;=TODAY()+IFERROR(VLOOKUP("Due-soon window (days)",Assumptions!$A$2:$B$7,2,FALSE),0)),"Check requirements due soon",IF(AND(OR($M91="Not Submitted",$M91="Submitted"),$P91&lt;&gt;"",$P91&lt;=TODAY()),"Check follow-up",IF(AND(OR($M91="Not Submitted",$M91="Submitted"),$G91&lt;&gt;"",TODAY()-$G91&gt;IFERROR(VLOOKUP("Open case review target (days)",Assumptions!$A$2:$B$7,2,FALSE),99999)),"Check open duration",""))))))))))</f>
        <v/>
      </c>
    </row>
    <row r="92" ht="22" customHeight="1">
      <c r="A92" s="15" t="n"/>
      <c r="B92" s="15" t="n"/>
      <c r="C92" s="15" t="n"/>
      <c r="D92" s="16" t="n"/>
      <c r="E92" s="15" t="n"/>
      <c r="F92" s="34" t="n"/>
      <c r="G92" s="34" t="n"/>
      <c r="H92" s="34" t="n"/>
      <c r="I92" s="18" t="n"/>
      <c r="J92" s="18" t="n"/>
      <c r="K92" s="16" t="n"/>
      <c r="L92" s="16" t="n"/>
      <c r="M92" s="16" t="n"/>
      <c r="N92" s="34" t="n"/>
      <c r="O92" s="34" t="n"/>
      <c r="P92" s="34" t="n"/>
      <c r="Q92" s="19" t="n"/>
      <c r="R92" s="20">
        <f>IF($G92="","",IFERROR(IF(OR($M92="Reinstated",$M92="Declined",$M92="Withdrawn"),IF($N92="","",MAX(0,$N92-$G92)),MAX(0,TODAY()-$G92)),""))</f>
        <v/>
      </c>
      <c r="S92" s="6">
        <f>IF($I92="","",IFERROR(MAX(0,$I92-IF($J92="",0,$J92)),""))</f>
        <v/>
      </c>
      <c r="T92" s="21">
        <f>IF($A92="","",IF(OR(AND($F92&lt;&gt;"",$G92&lt;&gt;"",$F92&gt;$G92),AND($N92&lt;&gt;"",$G92&lt;&gt;"",$N92&lt;$G92)),"Check date order",IF($M92="","Check outcome status",IF(AND(OR($M92="Reinstated",$M92="Declined",$M92="Withdrawn"),$N92=""),"Check decision date",IF(AND($M92="Reinstated",$O92=""),"Check effective date",IF(AND($M92="Reinstated",$S92&gt;0),"Check balance",IF(AND(OR($M92="Not Submitted",$M92="Submitted"),$H92&lt;&gt;"",AND($K92&lt;&gt;"Complete",$K92&lt;&gt;"Not Required"),$H92&lt;TODAY()),"Check overdue requirements",IF(AND(OR($M92="Not Submitted",$M92="Submitted"),$H92&lt;&gt;"",AND($K92&lt;&gt;"Complete",$K92&lt;&gt;"Not Required"),$H92&gt;=TODAY(),$H92&lt;=TODAY()+IFERROR(VLOOKUP("Due-soon window (days)",Assumptions!$A$2:$B$7,2,FALSE),0)),"Check requirements due soon",IF(AND(OR($M92="Not Submitted",$M92="Submitted"),$P92&lt;&gt;"",$P92&lt;=TODAY()),"Check follow-up",IF(AND(OR($M92="Not Submitted",$M92="Submitted"),$G92&lt;&gt;"",TODAY()-$G92&gt;IFERROR(VLOOKUP("Open case review target (days)",Assumptions!$A$2:$B$7,2,FALSE),99999)),"Check open duration",""))))))))))</f>
        <v/>
      </c>
    </row>
    <row r="93" ht="22" customHeight="1">
      <c r="A93" s="15" t="n"/>
      <c r="B93" s="15" t="n"/>
      <c r="C93" s="15" t="n"/>
      <c r="D93" s="16" t="n"/>
      <c r="E93" s="15" t="n"/>
      <c r="F93" s="34" t="n"/>
      <c r="G93" s="34" t="n"/>
      <c r="H93" s="34" t="n"/>
      <c r="I93" s="18" t="n"/>
      <c r="J93" s="18" t="n"/>
      <c r="K93" s="16" t="n"/>
      <c r="L93" s="16" t="n"/>
      <c r="M93" s="16" t="n"/>
      <c r="N93" s="34" t="n"/>
      <c r="O93" s="34" t="n"/>
      <c r="P93" s="34" t="n"/>
      <c r="Q93" s="19" t="n"/>
      <c r="R93" s="22">
        <f>IF($G93="","",IFERROR(IF(OR($M93="Reinstated",$M93="Declined",$M93="Withdrawn"),IF($N93="","",MAX(0,$N93-$G93)),MAX(0,TODAY()-$G93)),""))</f>
        <v/>
      </c>
      <c r="S93" s="10">
        <f>IF($I93="","",IFERROR(MAX(0,$I93-IF($J93="",0,$J93)),""))</f>
        <v/>
      </c>
      <c r="T93" s="23">
        <f>IF($A93="","",IF(OR(AND($F93&lt;&gt;"",$G93&lt;&gt;"",$F93&gt;$G93),AND($N93&lt;&gt;"",$G93&lt;&gt;"",$N93&lt;$G93)),"Check date order",IF($M93="","Check outcome status",IF(AND(OR($M93="Reinstated",$M93="Declined",$M93="Withdrawn"),$N93=""),"Check decision date",IF(AND($M93="Reinstated",$O93=""),"Check effective date",IF(AND($M93="Reinstated",$S93&gt;0),"Check balance",IF(AND(OR($M93="Not Submitted",$M93="Submitted"),$H93&lt;&gt;"",AND($K93&lt;&gt;"Complete",$K93&lt;&gt;"Not Required"),$H93&lt;TODAY()),"Check overdue requirements",IF(AND(OR($M93="Not Submitted",$M93="Submitted"),$H93&lt;&gt;"",AND($K93&lt;&gt;"Complete",$K93&lt;&gt;"Not Required"),$H93&gt;=TODAY(),$H93&lt;=TODAY()+IFERROR(VLOOKUP("Due-soon window (days)",Assumptions!$A$2:$B$7,2,FALSE),0)),"Check requirements due soon",IF(AND(OR($M93="Not Submitted",$M93="Submitted"),$P93&lt;&gt;"",$P93&lt;=TODAY()),"Check follow-up",IF(AND(OR($M93="Not Submitted",$M93="Submitted"),$G93&lt;&gt;"",TODAY()-$G93&gt;IFERROR(VLOOKUP("Open case review target (days)",Assumptions!$A$2:$B$7,2,FALSE),99999)),"Check open duration",""))))))))))</f>
        <v/>
      </c>
    </row>
    <row r="94" ht="22" customHeight="1">
      <c r="A94" s="15" t="n"/>
      <c r="B94" s="15" t="n"/>
      <c r="C94" s="15" t="n"/>
      <c r="D94" s="16" t="n"/>
      <c r="E94" s="15" t="n"/>
      <c r="F94" s="34" t="n"/>
      <c r="G94" s="34" t="n"/>
      <c r="H94" s="34" t="n"/>
      <c r="I94" s="18" t="n"/>
      <c r="J94" s="18" t="n"/>
      <c r="K94" s="16" t="n"/>
      <c r="L94" s="16" t="n"/>
      <c r="M94" s="16" t="n"/>
      <c r="N94" s="34" t="n"/>
      <c r="O94" s="34" t="n"/>
      <c r="P94" s="34" t="n"/>
      <c r="Q94" s="19" t="n"/>
      <c r="R94" s="20">
        <f>IF($G94="","",IFERROR(IF(OR($M94="Reinstated",$M94="Declined",$M94="Withdrawn"),IF($N94="","",MAX(0,$N94-$G94)),MAX(0,TODAY()-$G94)),""))</f>
        <v/>
      </c>
      <c r="S94" s="6">
        <f>IF($I94="","",IFERROR(MAX(0,$I94-IF($J94="",0,$J94)),""))</f>
        <v/>
      </c>
      <c r="T94" s="21">
        <f>IF($A94="","",IF(OR(AND($F94&lt;&gt;"",$G94&lt;&gt;"",$F94&gt;$G94),AND($N94&lt;&gt;"",$G94&lt;&gt;"",$N94&lt;$G94)),"Check date order",IF($M94="","Check outcome status",IF(AND(OR($M94="Reinstated",$M94="Declined",$M94="Withdrawn"),$N94=""),"Check decision date",IF(AND($M94="Reinstated",$O94=""),"Check effective date",IF(AND($M94="Reinstated",$S94&gt;0),"Check balance",IF(AND(OR($M94="Not Submitted",$M94="Submitted"),$H94&lt;&gt;"",AND($K94&lt;&gt;"Complete",$K94&lt;&gt;"Not Required"),$H94&lt;TODAY()),"Check overdue requirements",IF(AND(OR($M94="Not Submitted",$M94="Submitted"),$H94&lt;&gt;"",AND($K94&lt;&gt;"Complete",$K94&lt;&gt;"Not Required"),$H94&gt;=TODAY(),$H94&lt;=TODAY()+IFERROR(VLOOKUP("Due-soon window (days)",Assumptions!$A$2:$B$7,2,FALSE),0)),"Check requirements due soon",IF(AND(OR($M94="Not Submitted",$M94="Submitted"),$P94&lt;&gt;"",$P94&lt;=TODAY()),"Check follow-up",IF(AND(OR($M94="Not Submitted",$M94="Submitted"),$G94&lt;&gt;"",TODAY()-$G94&gt;IFERROR(VLOOKUP("Open case review target (days)",Assumptions!$A$2:$B$7,2,FALSE),99999)),"Check open duration",""))))))))))</f>
        <v/>
      </c>
    </row>
    <row r="95" ht="22" customHeight="1">
      <c r="A95" s="15" t="n"/>
      <c r="B95" s="15" t="n"/>
      <c r="C95" s="15" t="n"/>
      <c r="D95" s="16" t="n"/>
      <c r="E95" s="15" t="n"/>
      <c r="F95" s="34" t="n"/>
      <c r="G95" s="34" t="n"/>
      <c r="H95" s="34" t="n"/>
      <c r="I95" s="18" t="n"/>
      <c r="J95" s="18" t="n"/>
      <c r="K95" s="16" t="n"/>
      <c r="L95" s="16" t="n"/>
      <c r="M95" s="16" t="n"/>
      <c r="N95" s="34" t="n"/>
      <c r="O95" s="34" t="n"/>
      <c r="P95" s="34" t="n"/>
      <c r="Q95" s="19" t="n"/>
      <c r="R95" s="22">
        <f>IF($G95="","",IFERROR(IF(OR($M95="Reinstated",$M95="Declined",$M95="Withdrawn"),IF($N95="","",MAX(0,$N95-$G95)),MAX(0,TODAY()-$G95)),""))</f>
        <v/>
      </c>
      <c r="S95" s="10">
        <f>IF($I95="","",IFERROR(MAX(0,$I95-IF($J95="",0,$J95)),""))</f>
        <v/>
      </c>
      <c r="T95" s="23">
        <f>IF($A95="","",IF(OR(AND($F95&lt;&gt;"",$G95&lt;&gt;"",$F95&gt;$G95),AND($N95&lt;&gt;"",$G95&lt;&gt;"",$N95&lt;$G95)),"Check date order",IF($M95="","Check outcome status",IF(AND(OR($M95="Reinstated",$M95="Declined",$M95="Withdrawn"),$N95=""),"Check decision date",IF(AND($M95="Reinstated",$O95=""),"Check effective date",IF(AND($M95="Reinstated",$S95&gt;0),"Check balance",IF(AND(OR($M95="Not Submitted",$M95="Submitted"),$H95&lt;&gt;"",AND($K95&lt;&gt;"Complete",$K95&lt;&gt;"Not Required"),$H95&lt;TODAY()),"Check overdue requirements",IF(AND(OR($M95="Not Submitted",$M95="Submitted"),$H95&lt;&gt;"",AND($K95&lt;&gt;"Complete",$K95&lt;&gt;"Not Required"),$H95&gt;=TODAY(),$H95&lt;=TODAY()+IFERROR(VLOOKUP("Due-soon window (days)",Assumptions!$A$2:$B$7,2,FALSE),0)),"Check requirements due soon",IF(AND(OR($M95="Not Submitted",$M95="Submitted"),$P95&lt;&gt;"",$P95&lt;=TODAY()),"Check follow-up",IF(AND(OR($M95="Not Submitted",$M95="Submitted"),$G95&lt;&gt;"",TODAY()-$G95&gt;IFERROR(VLOOKUP("Open case review target (days)",Assumptions!$A$2:$B$7,2,FALSE),99999)),"Check open duration",""))))))))))</f>
        <v/>
      </c>
    </row>
    <row r="96" ht="22" customHeight="1">
      <c r="A96" s="15" t="n"/>
      <c r="B96" s="15" t="n"/>
      <c r="C96" s="15" t="n"/>
      <c r="D96" s="16" t="n"/>
      <c r="E96" s="15" t="n"/>
      <c r="F96" s="34" t="n"/>
      <c r="G96" s="34" t="n"/>
      <c r="H96" s="34" t="n"/>
      <c r="I96" s="18" t="n"/>
      <c r="J96" s="18" t="n"/>
      <c r="K96" s="16" t="n"/>
      <c r="L96" s="16" t="n"/>
      <c r="M96" s="16" t="n"/>
      <c r="N96" s="34" t="n"/>
      <c r="O96" s="34" t="n"/>
      <c r="P96" s="34" t="n"/>
      <c r="Q96" s="19" t="n"/>
      <c r="R96" s="20">
        <f>IF($G96="","",IFERROR(IF(OR($M96="Reinstated",$M96="Declined",$M96="Withdrawn"),IF($N96="","",MAX(0,$N96-$G96)),MAX(0,TODAY()-$G96)),""))</f>
        <v/>
      </c>
      <c r="S96" s="6">
        <f>IF($I96="","",IFERROR(MAX(0,$I96-IF($J96="",0,$J96)),""))</f>
        <v/>
      </c>
      <c r="T96" s="21">
        <f>IF($A96="","",IF(OR(AND($F96&lt;&gt;"",$G96&lt;&gt;"",$F96&gt;$G96),AND($N96&lt;&gt;"",$G96&lt;&gt;"",$N96&lt;$G96)),"Check date order",IF($M96="","Check outcome status",IF(AND(OR($M96="Reinstated",$M96="Declined",$M96="Withdrawn"),$N96=""),"Check decision date",IF(AND($M96="Reinstated",$O96=""),"Check effective date",IF(AND($M96="Reinstated",$S96&gt;0),"Check balance",IF(AND(OR($M96="Not Submitted",$M96="Submitted"),$H96&lt;&gt;"",AND($K96&lt;&gt;"Complete",$K96&lt;&gt;"Not Required"),$H96&lt;TODAY()),"Check overdue requirements",IF(AND(OR($M96="Not Submitted",$M96="Submitted"),$H96&lt;&gt;"",AND($K96&lt;&gt;"Complete",$K96&lt;&gt;"Not Required"),$H96&gt;=TODAY(),$H96&lt;=TODAY()+IFERROR(VLOOKUP("Due-soon window (days)",Assumptions!$A$2:$B$7,2,FALSE),0)),"Check requirements due soon",IF(AND(OR($M96="Not Submitted",$M96="Submitted"),$P96&lt;&gt;"",$P96&lt;=TODAY()),"Check follow-up",IF(AND(OR($M96="Not Submitted",$M96="Submitted"),$G96&lt;&gt;"",TODAY()-$G96&gt;IFERROR(VLOOKUP("Open case review target (days)",Assumptions!$A$2:$B$7,2,FALSE),99999)),"Check open duration",""))))))))))</f>
        <v/>
      </c>
    </row>
    <row r="97" ht="22" customHeight="1">
      <c r="A97" s="15" t="n"/>
      <c r="B97" s="15" t="n"/>
      <c r="C97" s="15" t="n"/>
      <c r="D97" s="16" t="n"/>
      <c r="E97" s="15" t="n"/>
      <c r="F97" s="34" t="n"/>
      <c r="G97" s="34" t="n"/>
      <c r="H97" s="34" t="n"/>
      <c r="I97" s="18" t="n"/>
      <c r="J97" s="18" t="n"/>
      <c r="K97" s="16" t="n"/>
      <c r="L97" s="16" t="n"/>
      <c r="M97" s="16" t="n"/>
      <c r="N97" s="34" t="n"/>
      <c r="O97" s="34" t="n"/>
      <c r="P97" s="34" t="n"/>
      <c r="Q97" s="19" t="n"/>
      <c r="R97" s="22">
        <f>IF($G97="","",IFERROR(IF(OR($M97="Reinstated",$M97="Declined",$M97="Withdrawn"),IF($N97="","",MAX(0,$N97-$G97)),MAX(0,TODAY()-$G97)),""))</f>
        <v/>
      </c>
      <c r="S97" s="10">
        <f>IF($I97="","",IFERROR(MAX(0,$I97-IF($J97="",0,$J97)),""))</f>
        <v/>
      </c>
      <c r="T97" s="23">
        <f>IF($A97="","",IF(OR(AND($F97&lt;&gt;"",$G97&lt;&gt;"",$F97&gt;$G97),AND($N97&lt;&gt;"",$G97&lt;&gt;"",$N97&lt;$G97)),"Check date order",IF($M97="","Check outcome status",IF(AND(OR($M97="Reinstated",$M97="Declined",$M97="Withdrawn"),$N97=""),"Check decision date",IF(AND($M97="Reinstated",$O97=""),"Check effective date",IF(AND($M97="Reinstated",$S97&gt;0),"Check balance",IF(AND(OR($M97="Not Submitted",$M97="Submitted"),$H97&lt;&gt;"",AND($K97&lt;&gt;"Complete",$K97&lt;&gt;"Not Required"),$H97&lt;TODAY()),"Check overdue requirements",IF(AND(OR($M97="Not Submitted",$M97="Submitted"),$H97&lt;&gt;"",AND($K97&lt;&gt;"Complete",$K97&lt;&gt;"Not Required"),$H97&gt;=TODAY(),$H97&lt;=TODAY()+IFERROR(VLOOKUP("Due-soon window (days)",Assumptions!$A$2:$B$7,2,FALSE),0)),"Check requirements due soon",IF(AND(OR($M97="Not Submitted",$M97="Submitted"),$P97&lt;&gt;"",$P97&lt;=TODAY()),"Check follow-up",IF(AND(OR($M97="Not Submitted",$M97="Submitted"),$G97&lt;&gt;"",TODAY()-$G97&gt;IFERROR(VLOOKUP("Open case review target (days)",Assumptions!$A$2:$B$7,2,FALSE),99999)),"Check open duration",""))))))))))</f>
        <v/>
      </c>
    </row>
    <row r="98" ht="22" customHeight="1">
      <c r="A98" s="15" t="n"/>
      <c r="B98" s="15" t="n"/>
      <c r="C98" s="15" t="n"/>
      <c r="D98" s="16" t="n"/>
      <c r="E98" s="15" t="n"/>
      <c r="F98" s="34" t="n"/>
      <c r="G98" s="34" t="n"/>
      <c r="H98" s="34" t="n"/>
      <c r="I98" s="18" t="n"/>
      <c r="J98" s="18" t="n"/>
      <c r="K98" s="16" t="n"/>
      <c r="L98" s="16" t="n"/>
      <c r="M98" s="16" t="n"/>
      <c r="N98" s="34" t="n"/>
      <c r="O98" s="34" t="n"/>
      <c r="P98" s="34" t="n"/>
      <c r="Q98" s="19" t="n"/>
      <c r="R98" s="20">
        <f>IF($G98="","",IFERROR(IF(OR($M98="Reinstated",$M98="Declined",$M98="Withdrawn"),IF($N98="","",MAX(0,$N98-$G98)),MAX(0,TODAY()-$G98)),""))</f>
        <v/>
      </c>
      <c r="S98" s="6">
        <f>IF($I98="","",IFERROR(MAX(0,$I98-IF($J98="",0,$J98)),""))</f>
        <v/>
      </c>
      <c r="T98" s="21">
        <f>IF($A98="","",IF(OR(AND($F98&lt;&gt;"",$G98&lt;&gt;"",$F98&gt;$G98),AND($N98&lt;&gt;"",$G98&lt;&gt;"",$N98&lt;$G98)),"Check date order",IF($M98="","Check outcome status",IF(AND(OR($M98="Reinstated",$M98="Declined",$M98="Withdrawn"),$N98=""),"Check decision date",IF(AND($M98="Reinstated",$O98=""),"Check effective date",IF(AND($M98="Reinstated",$S98&gt;0),"Check balance",IF(AND(OR($M98="Not Submitted",$M98="Submitted"),$H98&lt;&gt;"",AND($K98&lt;&gt;"Complete",$K98&lt;&gt;"Not Required"),$H98&lt;TODAY()),"Check overdue requirements",IF(AND(OR($M98="Not Submitted",$M98="Submitted"),$H98&lt;&gt;"",AND($K98&lt;&gt;"Complete",$K98&lt;&gt;"Not Required"),$H98&gt;=TODAY(),$H98&lt;=TODAY()+IFERROR(VLOOKUP("Due-soon window (days)",Assumptions!$A$2:$B$7,2,FALSE),0)),"Check requirements due soon",IF(AND(OR($M98="Not Submitted",$M98="Submitted"),$P98&lt;&gt;"",$P98&lt;=TODAY()),"Check follow-up",IF(AND(OR($M98="Not Submitted",$M98="Submitted"),$G98&lt;&gt;"",TODAY()-$G98&gt;IFERROR(VLOOKUP("Open case review target (days)",Assumptions!$A$2:$B$7,2,FALSE),99999)),"Check open duration",""))))))))))</f>
        <v/>
      </c>
    </row>
    <row r="99" ht="22" customHeight="1">
      <c r="A99" s="15" t="n"/>
      <c r="B99" s="15" t="n"/>
      <c r="C99" s="15" t="n"/>
      <c r="D99" s="16" t="n"/>
      <c r="E99" s="15" t="n"/>
      <c r="F99" s="34" t="n"/>
      <c r="G99" s="34" t="n"/>
      <c r="H99" s="34" t="n"/>
      <c r="I99" s="18" t="n"/>
      <c r="J99" s="18" t="n"/>
      <c r="K99" s="16" t="n"/>
      <c r="L99" s="16" t="n"/>
      <c r="M99" s="16" t="n"/>
      <c r="N99" s="34" t="n"/>
      <c r="O99" s="34" t="n"/>
      <c r="P99" s="34" t="n"/>
      <c r="Q99" s="19" t="n"/>
      <c r="R99" s="22">
        <f>IF($G99="","",IFERROR(IF(OR($M99="Reinstated",$M99="Declined",$M99="Withdrawn"),IF($N99="","",MAX(0,$N99-$G99)),MAX(0,TODAY()-$G99)),""))</f>
        <v/>
      </c>
      <c r="S99" s="10">
        <f>IF($I99="","",IFERROR(MAX(0,$I99-IF($J99="",0,$J99)),""))</f>
        <v/>
      </c>
      <c r="T99" s="23">
        <f>IF($A99="","",IF(OR(AND($F99&lt;&gt;"",$G99&lt;&gt;"",$F99&gt;$G99),AND($N99&lt;&gt;"",$G99&lt;&gt;"",$N99&lt;$G99)),"Check date order",IF($M99="","Check outcome status",IF(AND(OR($M99="Reinstated",$M99="Declined",$M99="Withdrawn"),$N99=""),"Check decision date",IF(AND($M99="Reinstated",$O99=""),"Check effective date",IF(AND($M99="Reinstated",$S99&gt;0),"Check balance",IF(AND(OR($M99="Not Submitted",$M99="Submitted"),$H99&lt;&gt;"",AND($K99&lt;&gt;"Complete",$K99&lt;&gt;"Not Required"),$H99&lt;TODAY()),"Check overdue requirements",IF(AND(OR($M99="Not Submitted",$M99="Submitted"),$H99&lt;&gt;"",AND($K99&lt;&gt;"Complete",$K99&lt;&gt;"Not Required"),$H99&gt;=TODAY(),$H99&lt;=TODAY()+IFERROR(VLOOKUP("Due-soon window (days)",Assumptions!$A$2:$B$7,2,FALSE),0)),"Check requirements due soon",IF(AND(OR($M99="Not Submitted",$M99="Submitted"),$P99&lt;&gt;"",$P99&lt;=TODAY()),"Check follow-up",IF(AND(OR($M99="Not Submitted",$M99="Submitted"),$G99&lt;&gt;"",TODAY()-$G99&gt;IFERROR(VLOOKUP("Open case review target (days)",Assumptions!$A$2:$B$7,2,FALSE),99999)),"Check open duration",""))))))))))</f>
        <v/>
      </c>
    </row>
    <row r="100" ht="22" customHeight="1">
      <c r="A100" s="15" t="n"/>
      <c r="B100" s="15" t="n"/>
      <c r="C100" s="15" t="n"/>
      <c r="D100" s="16" t="n"/>
      <c r="E100" s="15" t="n"/>
      <c r="F100" s="34" t="n"/>
      <c r="G100" s="34" t="n"/>
      <c r="H100" s="34" t="n"/>
      <c r="I100" s="18" t="n"/>
      <c r="J100" s="18" t="n"/>
      <c r="K100" s="16" t="n"/>
      <c r="L100" s="16" t="n"/>
      <c r="M100" s="16" t="n"/>
      <c r="N100" s="34" t="n"/>
      <c r="O100" s="34" t="n"/>
      <c r="P100" s="34" t="n"/>
      <c r="Q100" s="19" t="n"/>
      <c r="R100" s="20">
        <f>IF($G100="","",IFERROR(IF(OR($M100="Reinstated",$M100="Declined",$M100="Withdrawn"),IF($N100="","",MAX(0,$N100-$G100)),MAX(0,TODAY()-$G100)),""))</f>
        <v/>
      </c>
      <c r="S100" s="6">
        <f>IF($I100="","",IFERROR(MAX(0,$I100-IF($J100="",0,$J100)),""))</f>
        <v/>
      </c>
      <c r="T100" s="21">
        <f>IF($A100="","",IF(OR(AND($F100&lt;&gt;"",$G100&lt;&gt;"",$F100&gt;$G100),AND($N100&lt;&gt;"",$G100&lt;&gt;"",$N100&lt;$G100)),"Check date order",IF($M100="","Check outcome status",IF(AND(OR($M100="Reinstated",$M100="Declined",$M100="Withdrawn"),$N100=""),"Check decision date",IF(AND($M100="Reinstated",$O100=""),"Check effective date",IF(AND($M100="Reinstated",$S100&gt;0),"Check balance",IF(AND(OR($M100="Not Submitted",$M100="Submitted"),$H100&lt;&gt;"",AND($K100&lt;&gt;"Complete",$K100&lt;&gt;"Not Required"),$H100&lt;TODAY()),"Check overdue requirements",IF(AND(OR($M100="Not Submitted",$M100="Submitted"),$H100&lt;&gt;"",AND($K100&lt;&gt;"Complete",$K100&lt;&gt;"Not Required"),$H100&gt;=TODAY(),$H100&lt;=TODAY()+IFERROR(VLOOKUP("Due-soon window (days)",Assumptions!$A$2:$B$7,2,FALSE),0)),"Check requirements due soon",IF(AND(OR($M100="Not Submitted",$M100="Submitted"),$P100&lt;&gt;"",$P100&lt;=TODAY()),"Check follow-up",IF(AND(OR($M100="Not Submitted",$M100="Submitted"),$G100&lt;&gt;"",TODAY()-$G100&gt;IFERROR(VLOOKUP("Open case review target (days)",Assumptions!$A$2:$B$7,2,FALSE),99999)),"Check open duration",""))))))))))</f>
        <v/>
      </c>
    </row>
    <row r="101" ht="22" customHeight="1">
      <c r="A101" s="15" t="n"/>
      <c r="B101" s="15" t="n"/>
      <c r="C101" s="15" t="n"/>
      <c r="D101" s="16" t="n"/>
      <c r="E101" s="15" t="n"/>
      <c r="F101" s="34" t="n"/>
      <c r="G101" s="34" t="n"/>
      <c r="H101" s="34" t="n"/>
      <c r="I101" s="18" t="n"/>
      <c r="J101" s="18" t="n"/>
      <c r="K101" s="16" t="n"/>
      <c r="L101" s="16" t="n"/>
      <c r="M101" s="16" t="n"/>
      <c r="N101" s="34" t="n"/>
      <c r="O101" s="34" t="n"/>
      <c r="P101" s="34" t="n"/>
      <c r="Q101" s="19" t="n"/>
      <c r="R101" s="22">
        <f>IF($G101="","",IFERROR(IF(OR($M101="Reinstated",$M101="Declined",$M101="Withdrawn"),IF($N101="","",MAX(0,$N101-$G101)),MAX(0,TODAY()-$G101)),""))</f>
        <v/>
      </c>
      <c r="S101" s="10">
        <f>IF($I101="","",IFERROR(MAX(0,$I101-IF($J101="",0,$J101)),""))</f>
        <v/>
      </c>
      <c r="T101" s="23">
        <f>IF($A101="","",IF(OR(AND($F101&lt;&gt;"",$G101&lt;&gt;"",$F101&gt;$G101),AND($N101&lt;&gt;"",$G101&lt;&gt;"",$N101&lt;$G101)),"Check date order",IF($M101="","Check outcome status",IF(AND(OR($M101="Reinstated",$M101="Declined",$M101="Withdrawn"),$N101=""),"Check decision date",IF(AND($M101="Reinstated",$O101=""),"Check effective date",IF(AND($M101="Reinstated",$S101&gt;0),"Check balance",IF(AND(OR($M101="Not Submitted",$M101="Submitted"),$H101&lt;&gt;"",AND($K101&lt;&gt;"Complete",$K101&lt;&gt;"Not Required"),$H101&lt;TODAY()),"Check overdue requirements",IF(AND(OR($M101="Not Submitted",$M101="Submitted"),$H101&lt;&gt;"",AND($K101&lt;&gt;"Complete",$K101&lt;&gt;"Not Required"),$H101&gt;=TODAY(),$H101&lt;=TODAY()+IFERROR(VLOOKUP("Due-soon window (days)",Assumptions!$A$2:$B$7,2,FALSE),0)),"Check requirements due soon",IF(AND(OR($M101="Not Submitted",$M101="Submitted"),$P101&lt;&gt;"",$P101&lt;=TODAY()),"Check follow-up",IF(AND(OR($M101="Not Submitted",$M101="Submitted"),$G101&lt;&gt;"",TODAY()-$G101&gt;IFERROR(VLOOKUP("Open case review target (days)",Assumptions!$A$2:$B$7,2,FALSE),99999)),"Check open duration",""))))))))))</f>
        <v/>
      </c>
    </row>
  </sheetData>
  <autoFilter ref="A1:T101"/>
  <conditionalFormatting sqref="M2:M101">
    <cfRule type="expression" priority="1" dxfId="1">
      <formula>$M2="Reinstated"</formula>
    </cfRule>
  </conditionalFormatting>
  <conditionalFormatting sqref="S2:S101">
    <cfRule type="expression" priority="2" dxfId="0">
      <formula>AND($S2&lt;&gt;"",$S2&gt;=IFERROR(INDIRECT("Assumptions!$B$4"),1E+99))</formula>
    </cfRule>
  </conditionalFormatting>
  <conditionalFormatting sqref="T2:T101">
    <cfRule type="expression" priority="3" dxfId="0">
      <formula>$T2&lt;&gt;""</formula>
    </cfRule>
  </conditionalFormatting>
  <dataValidations count="7">
    <dataValidation sqref="D2:D101" showDropDown="0" showInputMessage="1" showErrorMessage="1" allowBlank="0" errorTitle="Choose a policy type" error="Select a policy type from the editable Assumptions list." promptTitle="Policy type" prompt="Choose a policy type from the list." type="list">
      <formula1>=INDIRECT("Assumptions!$D$2:$D$6")</formula1>
    </dataValidation>
    <dataValidation sqref="E2:E101" showDropDown="0" showInputMessage="1" showErrorMessage="1" allowBlank="0" errorTitle="Choose a carrier" error="Select a carrier from the editable Assumptions list." promptTitle="Carrier" prompt="Choose a fictional carrier from the list." type="list">
      <formula1>=INDIRECT("Assumptions!$H$2:$H$6")</formula1>
    </dataValidation>
    <dataValidation sqref="K2:K101" showDropDown="0" showInputMessage="1" showErrorMessage="1" allowBlank="0" errorTitle="Choose a requirements status" error="Select a requirements status from the Assumptions list." promptTitle="Requirements status" prompt="Choose the status supported by the entered administrative record." type="list">
      <formula1>=INDIRECT("Assumptions!$E$2:$E$5")</formula1>
    </dataValidation>
    <dataValidation sqref="L2:L101" showDropDown="0" showInputMessage="1" showErrorMessage="1" allowBlank="0" errorTitle="Choose an owner" error="Select an owner from the editable Assumptions list." promptTitle="Assigned owner" prompt="Choose the person responsible for internal follow-up." type="list">
      <formula1>=INDIRECT("Assumptions!$G$2:$G$6")</formula1>
    </dataValidation>
    <dataValidation sqref="M2:M101" showDropDown="0" showInputMessage="1" showErrorMessage="1" allowBlank="0" errorTitle="Choose an outcome status" error="Select an outcome status from the Assumptions list." promptTitle="Outcome status" prompt="Choose the current administrative status." type="list">
      <formula1>=INDIRECT("Assumptions!$F$2:$F$6")</formula1>
    </dataValidation>
    <dataValidation sqref="F2:H101 N2:P101" showDropDown="0" showInputMessage="1" showErrorMessage="1" allowBlank="0" errorTitle="Enter a valid date" error="Enter a date within the editable limits on the Assumptions sheet." promptTitle="Date entry" prompt="Use MM/DD/YYYY within the Assumptions date limits." type="date" operator="between">
      <formula1>=INDIRECT("Assumptions!$B$5")</formula1>
      <formula2>=INDIRECT("Assumptions!$B$6")</formula2>
    </dataValidation>
    <dataValidation sqref="I2:J101" showDropDown="0" showInputMessage="1" showErrorMessage="1" allowBlank="0" errorTitle="Enter a valid amount" error="Enter a nonnegative amount within the editable Assumptions limit." promptTitle="Administrative amount" prompt="Enter the amount recorded for this request." type="decimal" operator="between">
      <formula1>0</formula1>
      <formula2>=INDIRECT("Assumptions!$B$7")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8" customWidth="1" min="2" max="2"/>
    <col width="55" customWidth="1" min="3" max="3"/>
    <col width="22" customWidth="1" min="4" max="4"/>
    <col width="23" customWidth="1" min="5" max="5"/>
    <col width="20" customWidth="1" min="6" max="6"/>
    <col width="31" customWidth="1" min="7" max="7"/>
    <col width="34" customWidth="1" min="8" max="8"/>
  </cols>
  <sheetData>
    <row r="1" ht="34" customHeight="1">
      <c r="A1" s="14" t="inlineStr">
        <is>
          <t>Parameter</t>
        </is>
      </c>
      <c r="B1" s="14" t="inlineStr">
        <is>
          <t>Editable Value</t>
        </is>
      </c>
      <c r="C1" s="14" t="inlineStr">
        <is>
          <t>Use</t>
        </is>
      </c>
      <c r="D1" s="14" t="inlineStr">
        <is>
          <t>Policy Type</t>
        </is>
      </c>
      <c r="E1" s="14" t="inlineStr">
        <is>
          <t>Requirements Status</t>
        </is>
      </c>
      <c r="F1" s="14" t="inlineStr">
        <is>
          <t>Outcome Status</t>
        </is>
      </c>
      <c r="G1" s="14" t="inlineStr">
        <is>
          <t>Owner</t>
        </is>
      </c>
      <c r="H1" s="14" t="inlineStr">
        <is>
          <t>Carrier</t>
        </is>
      </c>
    </row>
    <row r="2" ht="33" customHeight="1">
      <c r="A2" s="7" t="inlineStr">
        <is>
          <t>Open case review target (days)</t>
        </is>
      </c>
      <c r="B2" s="24" t="n">
        <v>14</v>
      </c>
      <c r="C2" s="25" t="inlineStr">
        <is>
          <t>Prompts an internal check when an active request remains open longer.</t>
        </is>
      </c>
      <c r="D2" s="15" t="inlineStr">
        <is>
          <t>Personal Auto</t>
        </is>
      </c>
      <c r="E2" s="15" t="inlineStr">
        <is>
          <t>Not Started</t>
        </is>
      </c>
      <c r="F2" s="15" t="inlineStr">
        <is>
          <t>Not Submitted</t>
        </is>
      </c>
      <c r="G2" s="15" t="inlineStr">
        <is>
          <t>Jordan Sample (Fictional)</t>
        </is>
      </c>
      <c r="H2" s="15" t="inlineStr">
        <is>
          <t>Fictional Harbor Mutual</t>
        </is>
      </c>
    </row>
    <row r="3" ht="33" customHeight="1">
      <c r="A3" s="11" t="inlineStr">
        <is>
          <t>Due-soon window (days)</t>
        </is>
      </c>
      <c r="B3" s="24" t="n">
        <v>3</v>
      </c>
      <c r="C3" s="26" t="inlineStr">
        <is>
          <t>Prompts an internal check for incomplete requirements approaching the entered due date.</t>
        </is>
      </c>
      <c r="D3" s="15" t="inlineStr">
        <is>
          <t>Homeowners</t>
        </is>
      </c>
      <c r="E3" s="15" t="inlineStr">
        <is>
          <t>Pending</t>
        </is>
      </c>
      <c r="F3" s="15" t="inlineStr">
        <is>
          <t>Submitted</t>
        </is>
      </c>
      <c r="G3" s="15" t="inlineStr">
        <is>
          <t>Riley Example (Fictional)</t>
        </is>
      </c>
      <c r="H3" s="15" t="inlineStr">
        <is>
          <t>Fictional Northstar Indemnity</t>
        </is>
      </c>
    </row>
    <row r="4" ht="33" customHeight="1">
      <c r="A4" s="7" t="inlineStr">
        <is>
          <t>High balance review amount</t>
        </is>
      </c>
      <c r="B4" s="27" t="n">
        <v>500</v>
      </c>
      <c r="C4" s="25" t="inlineStr">
        <is>
          <t>Highlights a recorded balance at or above this amount for human review.</t>
        </is>
      </c>
      <c r="D4" s="15" t="inlineStr">
        <is>
          <t>Commercial Package</t>
        </is>
      </c>
      <c r="E4" s="15" t="inlineStr">
        <is>
          <t>Complete</t>
        </is>
      </c>
      <c r="F4" s="15" t="inlineStr">
        <is>
          <t>Reinstated</t>
        </is>
      </c>
      <c r="G4" s="15" t="inlineStr">
        <is>
          <t>Casey Placeholder (Fictional)</t>
        </is>
      </c>
      <c r="H4" s="15" t="inlineStr">
        <is>
          <t>Fictional Juniper Casualty</t>
        </is>
      </c>
    </row>
    <row r="5" ht="33" customHeight="1">
      <c r="A5" s="11" t="inlineStr">
        <is>
          <t>Earliest allowed date</t>
        </is>
      </c>
      <c r="B5" s="35" t="n">
        <v>44197</v>
      </c>
      <c r="C5" s="26" t="inlineStr">
        <is>
          <t>Lower date limit used by entry validation.</t>
        </is>
      </c>
      <c r="D5" s="15" t="inlineStr">
        <is>
          <t>General Liability</t>
        </is>
      </c>
      <c r="E5" s="15" t="inlineStr">
        <is>
          <t>Not Required</t>
        </is>
      </c>
      <c r="F5" s="15" t="inlineStr">
        <is>
          <t>Declined</t>
        </is>
      </c>
      <c r="G5" s="15" t="inlineStr">
        <is>
          <t>Morgan Demo (Fictional)</t>
        </is>
      </c>
      <c r="H5" s="15" t="inlineStr">
        <is>
          <t>Fictional Beacon Insurance</t>
        </is>
      </c>
    </row>
    <row r="6" ht="33" customHeight="1">
      <c r="A6" s="7" t="inlineStr">
        <is>
          <t>Latest allowed date</t>
        </is>
      </c>
      <c r="B6" s="35" t="n">
        <v>48213</v>
      </c>
      <c r="C6" s="25" t="inlineStr">
        <is>
          <t>Upper date limit used by entry validation.</t>
        </is>
      </c>
      <c r="D6" s="15" t="inlineStr">
        <is>
          <t>Business Auto</t>
        </is>
      </c>
      <c r="E6" s="15" t="n"/>
      <c r="F6" s="15" t="inlineStr">
        <is>
          <t>Withdrawn</t>
        </is>
      </c>
      <c r="G6" s="15" t="inlineStr">
        <is>
          <t>Taylor Test (Fictional)</t>
        </is>
      </c>
      <c r="H6" s="15" t="inlineStr">
        <is>
          <t>Fictional Summit Underwriters</t>
        </is>
      </c>
    </row>
    <row r="7" ht="33" customHeight="1">
      <c r="A7" s="11" t="inlineStr">
        <is>
          <t>Maximum allowed amount</t>
        </is>
      </c>
      <c r="B7" s="27" t="n">
        <v>10000000</v>
      </c>
      <c r="C7" s="26" t="inlineStr">
        <is>
          <t>Upper amount limit used by entry validation.</t>
        </is>
      </c>
    </row>
  </sheetData>
  <autoFilter ref="A1:C7"/>
  <dataValidations count="3">
    <dataValidation sqref="B2:B3" showDropDown="0" showInputMessage="0" showErrorMessage="1" allowBlank="0" errorTitle="Enter a valid day limit" error="Enter a whole number from 0 through 365." type="whole" operator="between">
      <formula1>0</formula1>
      <formula2>365</formula2>
    </dataValidation>
    <dataValidation sqref="B4 B7" showDropDown="0" showInputMessage="0" showErrorMessage="1" allowBlank="0" errorTitle="Enter a valid amount" error="Enter an amount from $0.00 through $1,000,000,000.00." type="decimal" operator="between">
      <formula1>0</formula1>
      <formula2>1000000000</formula2>
    </dataValidation>
    <dataValidation sqref="B5:B6" showDropDown="0" showInputMessage="0" showErrorMessage="1" allowBlank="0" errorTitle="Enter a valid date" error="Enter a date within the permitted planning range." type="date" operator="between">
      <formula1>38718</formula1>
      <formula2>53692</formula2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Independent Insurance Agency</dc:creator>
  <dc:title xmlns:dc="http://purl.org/dc/elements/1.1/">Insurance Policy Reinstatement Tracker</dc:title>
  <dc:subject xmlns:dc="http://purl.org/dc/elements/1.1/">Administrative tracking of requested policy reinstatements</dc:subject>
  <dcterms:created xmlns:dcterms="http://purl.org/dc/terms/" xmlns:xsi="http://www.w3.org/2001/XMLSchema-instance" xsi:type="dcterms:W3CDTF">2026-09-10T21:11:59Z</dcterms:created>
  <dcterms:modified xmlns:dcterms="http://purl.org/dc/terms/" xmlns:xsi="http://www.w3.org/2001/XMLSchema-instance" xsi:type="dcterms:W3CDTF">2026-09-10T21:12:00+00:00Z</dcterms:modified>
</cp:coreProperties>
</file>